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Смета СН-2012 по гл. 1-5" sheetId="1" r:id="rId1"/>
    <sheet name="Дефектная ведомость" sheetId="2" r:id="rId2"/>
    <sheet name="RV_DATA" sheetId="3" state="hidden" r:id="rId3"/>
    <sheet name="Расчет стоимости ресурсов" sheetId="4" r:id="rId4"/>
    <sheet name="Source" sheetId="5" r:id="rId5"/>
    <sheet name="SourceObSm" sheetId="6" r:id="rId6"/>
    <sheet name="SmtRes" sheetId="7" r:id="rId7"/>
    <sheet name="EtalonRes" sheetId="8" r:id="rId8"/>
  </sheets>
  <definedNames>
    <definedName name="_xlnm.Print_Titles" localSheetId="1">'Дефектная ведомость'!$18:$18</definedName>
    <definedName name="_xlnm.Print_Titles" localSheetId="3">'Расчет стоимости ресурсов'!$4:$7</definedName>
    <definedName name="_xlnm.Print_Titles" localSheetId="0">'Смета СН-2012 по гл. 1-5'!$30:$30</definedName>
    <definedName name="_xlnm.Print_Area" localSheetId="1">'Дефектная ведомость'!$A$1:$E$91</definedName>
    <definedName name="_xlnm.Print_Area" localSheetId="3">'Расчет стоимости ресурсов'!$A$1:$F$104</definedName>
    <definedName name="_xlnm.Print_Area" localSheetId="0">'Смета СН-2012 по гл. 1-5'!$A$1:$K$327</definedName>
  </definedNames>
  <calcPr fullCalcOnLoad="1"/>
</workbook>
</file>

<file path=xl/sharedStrings.xml><?xml version="1.0" encoding="utf-8"?>
<sst xmlns="http://schemas.openxmlformats.org/spreadsheetml/2006/main" count="5518" uniqueCount="554">
  <si>
    <t>Smeta.RU  (495) 974-1589</t>
  </si>
  <si>
    <t>_PS_</t>
  </si>
  <si>
    <t>Smeta.RU</t>
  </si>
  <si>
    <t/>
  </si>
  <si>
    <t>Новый объект</t>
  </si>
  <si>
    <t>ГБОУ Школа №305" по адресу : проезд Черского, дом 27А  Вентиляция+экс ОБЩАЯ (СОВМЕЩЕННАЯ СМЕТА от вентиляциощиков  и 305)</t>
  </si>
  <si>
    <t>Сметные нормы списания</t>
  </si>
  <si>
    <t>Коды ОКП для СН-2012 - 2017 г.</t>
  </si>
  <si>
    <t>СН-2012 - 2017 г_глава_1-5</t>
  </si>
  <si>
    <t>Типовой расчет для СН-2012 - 2017 г</t>
  </si>
  <si>
    <t>СН-2012-2017 г. База данных "Сборник стоимостных нормативов"</t>
  </si>
  <si>
    <t>Новая локальная смета</t>
  </si>
  <si>
    <t>Новый раздел</t>
  </si>
  <si>
    <t>Монтажные работы</t>
  </si>
  <si>
    <t>1</t>
  </si>
  <si>
    <t>1.18-3203-3-16/1</t>
  </si>
  <si>
    <t>Установка клапанов огнезадерживающих периметром до 3200 мм (без стоимости клапанов)</t>
  </si>
  <si>
    <t>шт.</t>
  </si>
  <si>
    <t>СН-2012.1. База. Сб.18-3203-3-16/1</t>
  </si>
  <si>
    <t>СН-2012</t>
  </si>
  <si>
    <t>Подрядные работы, гл. 1-5</t>
  </si>
  <si>
    <t>работа</t>
  </si>
  <si>
    <t>1,1</t>
  </si>
  <si>
    <t>цена поставщика Том 1. п.14</t>
  </si>
  <si>
    <t>Клапан огнезадерживающий КЛОП-2 с эл. приводом Белимо 500х500 цена=7990/1,18=6771,19</t>
  </si>
  <si>
    <t>ШТ</t>
  </si>
  <si>
    <t>(7 990 / 1,18)</t>
  </si>
  <si>
    <t>2</t>
  </si>
  <si>
    <t>1.18-3203-2-1/1</t>
  </si>
  <si>
    <t>Установка решеток жалюзийных площадью в свету до 0,25 м2 (без стоимости решеток)</t>
  </si>
  <si>
    <t>СН-2012.1. База. Сб.18-3203-2-1/1</t>
  </si>
  <si>
    <t>2,1</t>
  </si>
  <si>
    <t>21.19-11-24</t>
  </si>
  <si>
    <t>Решетки вентиляционные, жалюзийные, регулируемые, алюминиевые, марка АДР, размер 200х200 мм</t>
  </si>
  <si>
    <t>СН-2012.21. База. Р.19, о.11, поз.24</t>
  </si>
  <si>
    <t>2,2</t>
  </si>
  <si>
    <t>21.19-11-31</t>
  </si>
  <si>
    <t>Решетки вентиляционные, жалюзийные, регулируемые, алюминиевые, марка АМР, размер 150х150 мм</t>
  </si>
  <si>
    <t>СН-2012.21. База. Р.19, о.11, поз.31</t>
  </si>
  <si>
    <t>2,3</t>
  </si>
  <si>
    <t>21.19-11-43</t>
  </si>
  <si>
    <t>Решетки вентиляционные, жалюзийные, регулируемые, стальные, марка РС-Г, размер 325х225 мм</t>
  </si>
  <si>
    <t>СН-2012.21. База. Р.19, о.11, поз.43</t>
  </si>
  <si>
    <t>2,4</t>
  </si>
  <si>
    <t>21.19-11-39</t>
  </si>
  <si>
    <t>Решетки вентиляционные, жалюзийные, регулируемые, стальные, марка РС-Г, размер 225х125 мм</t>
  </si>
  <si>
    <t>СН-2012.21. База. Р.19, о.11, поз.39</t>
  </si>
  <si>
    <t>2,5</t>
  </si>
  <si>
    <t>21.19-11-49</t>
  </si>
  <si>
    <t>Решетки вентиляционные, жалюзийные, регулируемые, стальные, марка РС-Г, размер 525х225 мм</t>
  </si>
  <si>
    <t>СН-2012.21. База. Р.19, о.11, поз.49</t>
  </si>
  <si>
    <t>2,6</t>
  </si>
  <si>
    <t>21.19-11-40</t>
  </si>
  <si>
    <t>Решетки вентиляционные, жалюзийные, регулируемые, стальные, марка РС-Г, размер 225х225 мм</t>
  </si>
  <si>
    <t>СН-2012.21. База. Р.19, о.11, поз.40</t>
  </si>
  <si>
    <t>3</t>
  </si>
  <si>
    <t>1.17-3103-10-1/1</t>
  </si>
  <si>
    <t>Установка насосов центробежных с электродвигателем массой агрегата до 0,1 т (без стоимости насосов)</t>
  </si>
  <si>
    <t>компл.</t>
  </si>
  <si>
    <t>СН-2012.1. База. Сб.17-3103-10-1/1</t>
  </si>
  <si>
    <t>3,1</t>
  </si>
  <si>
    <t>цена поставщика Том1 п.1</t>
  </si>
  <si>
    <t>Насос  ГНОМ 10-10 220/1,1 цена=8950/1,18=7584,75</t>
  </si>
  <si>
    <t>(8 950 / 1,18)</t>
  </si>
  <si>
    <t>4</t>
  </si>
  <si>
    <t>1.11-3303-5-2/1</t>
  </si>
  <si>
    <t>Монтаж металлических конструкций люков (без стоимости люков)</t>
  </si>
  <si>
    <t>т</t>
  </si>
  <si>
    <t>СН-2012.1. База. Сб.11-3303-5-2/1</t>
  </si>
  <si>
    <t>4,1</t>
  </si>
  <si>
    <t>цена поставщика Том 1. п.15</t>
  </si>
  <si>
    <t>Дверь герметичная утепленная Дус 1,25х0,51 цена=4590/1,18=3889,83</t>
  </si>
  <si>
    <t>(4 590 / 1,18)</t>
  </si>
  <si>
    <t>5</t>
  </si>
  <si>
    <t>1.18-3103-1-2/1</t>
  </si>
  <si>
    <t>Прокладка воздуховодов из черной, оцинкованной стали и алюминия толщиной 0,5 мм периметром до 600 мм (без стоимости дроссель-клапана, шибера, средств крепления, сетки, заглушки и воздуховода)</t>
  </si>
  <si>
    <t>100 м2</t>
  </si>
  <si>
    <t>СН-2012.1. База. Сб.18-3103-1-2/1</t>
  </si>
  <si>
    <t>5,1</t>
  </si>
  <si>
    <t>21.19-10-7</t>
  </si>
  <si>
    <t>Дроссель-клапаны для регулирования расхода воздуха, в обечайке, с сектором управления, из оцинкованной стали, прямоугольные, периметр 700 мм</t>
  </si>
  <si>
    <t>СН-2012.21. База. Р.19, о.10, поз.7</t>
  </si>
  <si>
    <t>5,2</t>
  </si>
  <si>
    <t>21.19-3-31</t>
  </si>
  <si>
    <t>Воздуховоды прямоугольного сечения из черной стали, толщина стенки до 1,2 мм, периметр до 1000 мм</t>
  </si>
  <si>
    <t>м2</t>
  </si>
  <si>
    <t>СН-2012.21. База. Р.19, о.3, поз.31</t>
  </si>
  <si>
    <t>5,3</t>
  </si>
  <si>
    <t>цена поставщика Том1. п.16</t>
  </si>
  <si>
    <t>Лючок для прочистки воздуховодов цена=374/1,18=316,95</t>
  </si>
  <si>
    <t>(374 / 1,18)</t>
  </si>
  <si>
    <t>5,4</t>
  </si>
  <si>
    <t>21.19-11-74</t>
  </si>
  <si>
    <t>Сетки металлические в рамках для ограждения приточных и вытяжных отверстий из оцинкованной стали, площадь сетки в свету до 0,5 м2</t>
  </si>
  <si>
    <t>СН-2012.21. База. Р.19, о.11, поз.74</t>
  </si>
  <si>
    <t>5,5</t>
  </si>
  <si>
    <t>21.19-11-72</t>
  </si>
  <si>
    <t>Сетки металлические в рамках для ограждения приточных и вытяжных отверстий из оцинкованной стали, площадь сетки в свету до 0,2 м2</t>
  </si>
  <si>
    <t>СН-2012.21. База. Р.19, о.11, поз.72</t>
  </si>
  <si>
    <t>6</t>
  </si>
  <si>
    <t>1.18-3103-1-3/1</t>
  </si>
  <si>
    <t>Прокладка воздуховодов из черной, оцинкованной стали и алюминия толщиной 0,5 мм периметром до 1000 мм (без стоимости дроссель-клапана, шибера, средств крепления, сетки, заглушки и воздуховода)</t>
  </si>
  <si>
    <t>СН-2012.1. База. Сб.18-3103-1-3/1</t>
  </si>
  <si>
    <t>6,1</t>
  </si>
  <si>
    <t>21.19-10-8</t>
  </si>
  <si>
    <t>Дроссель-клапаны для регулирования расхода воздуха, в обечайке, с сектором управления, из оцинкованной стали, прямоугольные, периметр 1000 мм</t>
  </si>
  <si>
    <t>СН-2012.21. База. Р.19, о.10, поз.8</t>
  </si>
  <si>
    <t>6,2</t>
  </si>
  <si>
    <t>21.19-3-19</t>
  </si>
  <si>
    <t>Воздуховоды прямоугольного сечения из оцинкованной стали, толщина стенки до 1,2 мм, периметр до 4000 мм</t>
  </si>
  <si>
    <t>СН-2012.21. База. Р.19, о.3, поз.19</t>
  </si>
  <si>
    <t>6,3</t>
  </si>
  <si>
    <t>7</t>
  </si>
  <si>
    <t>1.18-3103-1-27/1</t>
  </si>
  <si>
    <t>Прокладка воздуховодов прямоугольных из черной, оцинкованной стали и алюминия, толщина стали от 1 до 2 мм, периметр до 1800 мм (без стоимости дроссель-клапана, шибера, средств крепления, сетки, заглушки и воздуховода)</t>
  </si>
  <si>
    <t>СН-2012.1. База. Сб.18-3103-1-27/1</t>
  </si>
  <si>
    <t>7,1</t>
  </si>
  <si>
    <t>21.19-10-11</t>
  </si>
  <si>
    <t>Дроссель-клапаны для регулирования расхода воздуха, в обечайке, с сектором управления, из оцинкованной стали, прямоугольные, периметр 2000 мм</t>
  </si>
  <si>
    <t>СН-2012.21. База. Р.19, о.10, поз.11</t>
  </si>
  <si>
    <t>7,2</t>
  </si>
  <si>
    <t>7,3</t>
  </si>
  <si>
    <t>8</t>
  </si>
  <si>
    <t>1.18-3103-1-28/1</t>
  </si>
  <si>
    <t>Прокладка воздуховодов прямоугольных из черной, оцинкованной стали и алюминия, толщина стали от 1 до 2 мм, периметр до 2000 мм (без стоимости дроссель-клапана, шибера, средств крепления, сетки, заглушки и воздуховода)</t>
  </si>
  <si>
    <t>СН-2012.1. База. Сб.18-3103-1-28/1</t>
  </si>
  <si>
    <t>8,1</t>
  </si>
  <si>
    <t>8,2</t>
  </si>
  <si>
    <t>8,3</t>
  </si>
  <si>
    <t>9</t>
  </si>
  <si>
    <t>1.18-3703-3-1/1</t>
  </si>
  <si>
    <t>Изоляция плоских и криволинейных поверхностей изделиями из вспененного каучука, вспененного полиэтилена</t>
  </si>
  <si>
    <t>СН-2012.1. База. Сб.18-3703-3-1/1</t>
  </si>
  <si>
    <t>9,1</t>
  </si>
  <si>
    <t>21.1-14-10</t>
  </si>
  <si>
    <t>Листы теплоизоляционные "Армафлекс", для поверхностей с температурой от -80 до +110 °С, толщина 13 мм</t>
  </si>
  <si>
    <t>СН-2012.21. База. Р.1, о.14, поз.10</t>
  </si>
  <si>
    <t>9,2</t>
  </si>
  <si>
    <t>21.1-25-782</t>
  </si>
  <si>
    <t>Клей резиновый, 78 БЦСП</t>
  </si>
  <si>
    <t>кг</t>
  </si>
  <si>
    <t>СН-2012.21. База. Р.1, о.25, поз.782</t>
  </si>
  <si>
    <t>10</t>
  </si>
  <si>
    <t>1.18-3203-9-6/1</t>
  </si>
  <si>
    <t>Установка зонтов над шахтами из листовой стали прямоугольного сечения периметром 3200 мм (без стоимости креплений) (зонт 720х720)</t>
  </si>
  <si>
    <t>СН-2012.1. База. Сб.18-3203-9-6/1</t>
  </si>
  <si>
    <t>10,1</t>
  </si>
  <si>
    <t>цена поставщика Том1. п.17</t>
  </si>
  <si>
    <t>Зонт над шахтой 720х720х100 ВЕТЕРРА цена=1683/1,18=1426,27</t>
  </si>
  <si>
    <t>(1 683 / 1,18)</t>
  </si>
  <si>
    <t>10,2</t>
  </si>
  <si>
    <t>21.19-12-33</t>
  </si>
  <si>
    <t>Средства крепления - кронштейн и подставка под оборудование из сортовой стали</t>
  </si>
  <si>
    <t>СН-2012.21. База. Р.19, о.12, поз.33</t>
  </si>
  <si>
    <t>10,3</t>
  </si>
  <si>
    <t>21.19-12-55</t>
  </si>
  <si>
    <t>Зонты вентиляционных систем из оцинкованной стали, прямоугольного сечения, 800х800мм (зонт 720х720)</t>
  </si>
  <si>
    <t>СН-2012.21. База. Р.19, о.12, поз.55</t>
  </si>
  <si>
    <t>11</t>
  </si>
  <si>
    <t>Установка зонтов над шахтами из листовой стали прямоугольного сечения периметром 3200 мм (без стоимости креплений) (зонт 720х900)</t>
  </si>
  <si>
    <t>11,1</t>
  </si>
  <si>
    <t>12</t>
  </si>
  <si>
    <t>1.18-3203-9-7/1</t>
  </si>
  <si>
    <t>Установка зонтов над шахтами из листовой стали прямоугольного сечения периметром 3600 мм (без стоимости креплений) (зонт 720х1080)</t>
  </si>
  <si>
    <t>СН-2012.1. База. Сб.18-3203-9-7/1</t>
  </si>
  <si>
    <t>12,1</t>
  </si>
  <si>
    <t>13</t>
  </si>
  <si>
    <t>1.18-3203-9-8/1</t>
  </si>
  <si>
    <t>Установка зонтов над шахтами из листовой стали прямоугольного сечения периметром 4000 мм (без стоимости креплений) (зонт 720х1440)</t>
  </si>
  <si>
    <t>СН-2012.1. База. Сб.18-3203-9-8/1</t>
  </si>
  <si>
    <t>13,1</t>
  </si>
  <si>
    <t>14</t>
  </si>
  <si>
    <t>Установка зонтов над шахтами из листовой стали прямоугольного сечения периметром 4000 мм (без стоимости креплений) (зонт 720х1800)</t>
  </si>
  <si>
    <t>14,1</t>
  </si>
  <si>
    <t>15</t>
  </si>
  <si>
    <t>Установка зонтов над шахтами из листовой стали прямоугольного сечения периметром 4000 мм (без стоимости креплений) (зонт 720х2160)</t>
  </si>
  <si>
    <t>15,1</t>
  </si>
  <si>
    <t>16</t>
  </si>
  <si>
    <t>1.18-3403-1-1/1</t>
  </si>
  <si>
    <t>Установка камер приточных типовых без секции орошения и установок приточных производительностью до 10 тыс.м3/час (без стоимости камеры)</t>
  </si>
  <si>
    <t>СН-2012.1. База. Сб.18-3403-1-1/1</t>
  </si>
  <si>
    <t>16,1</t>
  </si>
  <si>
    <t>цена поставщика Том1. п.18</t>
  </si>
  <si>
    <t>Приточная установка П-1 в комплекте  ECO 160/1-1,2/1-А Shuft цена=36653/1,18=31061,86</t>
  </si>
  <si>
    <t>(36 653 / 1,18)</t>
  </si>
  <si>
    <t>17</t>
  </si>
  <si>
    <t>1.18-3203-5-6/1</t>
  </si>
  <si>
    <t>Установка заслонок воздушных или клапанов воздушных КВР с электрическим или пневматическим приводами периметром до 1000 мм (без стоимости заслонок или клапанов)</t>
  </si>
  <si>
    <t>СН-2012.1. База. Сб.18-3203-5-6/1</t>
  </si>
  <si>
    <t>17,1</t>
  </si>
  <si>
    <t>21.19-6-161</t>
  </si>
  <si>
    <t>Клапаны для регулирования воздушных потоков в вентиляционных системах в искробезопасном исполнении из горячекатаной стали, марка АЗЕ 025, сечение 200х200 мм</t>
  </si>
  <si>
    <t>СН-2012.21. База. Р.19, о.6, поз.161</t>
  </si>
  <si>
    <t>18</t>
  </si>
  <si>
    <t>1.18-3203-3-5/1</t>
  </si>
  <si>
    <t>Установка клапанов обратных периметром до 1000 мм (без стоимости клапанов)</t>
  </si>
  <si>
    <t>СН-2012.1. База. Сб.18-3203-3-5/1</t>
  </si>
  <si>
    <t>18,1</t>
  </si>
  <si>
    <t>21.19-6-207</t>
  </si>
  <si>
    <t>Клапаны обратные для регулирования воздушных потоков в вентиляционных системах из оцинкованной стали, марка КОП, сечение 500х500 мм</t>
  </si>
  <si>
    <t>СН-2012.21. База. Р.19, о.6, поз.207</t>
  </si>
  <si>
    <t>19</t>
  </si>
  <si>
    <t>1.18-3303-1-1/1</t>
  </si>
  <si>
    <t>Установка вентиляторов радиальных с электродвигателем на одной оси или на клиноременной передаче, массой до 0,05 т (без стоимости вентиляторов и гибких вставок)</t>
  </si>
  <si>
    <t>СН-2012.1. База. Сб.18-3303-1-1/1</t>
  </si>
  <si>
    <t>19,1</t>
  </si>
  <si>
    <t>цена поставщика Том1. п19</t>
  </si>
  <si>
    <t>Вентилятор ВР-280-46-2,5(2,0) 2,2 кВт- 3000 об./мин. цена=8994,06/1,18=7622,08</t>
  </si>
  <si>
    <t>(8 994,06 / 1,18)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</si>
  <si>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</si>
  <si>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</si>
  <si>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</si>
  <si>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</si>
  <si>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</si>
  <si>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</si>
  <si>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</si>
  <si>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</si>
  <si>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</si>
  <si>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</si>
  <si>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</si>
  <si>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</si>
  <si>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</si>
  <si>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</si>
  <si>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</si>
  <si>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</si>
  <si>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</si>
  <si>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</si>
  <si>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</si>
  <si>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</si>
  <si>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</si>
  <si>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</si>
  <si>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</si>
  <si>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</si>
  <si>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</si>
  <si>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</si>
  <si>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</si>
  <si>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</si>
  <si>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</si>
  <si>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</si>
  <si>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</si>
  <si>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</si>
  <si>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</si>
  <si>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</si>
  <si>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</si>
  <si>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</si>
  <si>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</si>
  <si>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</si>
  <si>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</si>
  <si>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</si>
  <si>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</si>
  <si>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</si>
  <si>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</si>
  <si>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</si>
  <si>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</si>
  <si>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</si>
  <si>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Демонтажные работы</t>
  </si>
  <si>
    <t>1.18-3104-1-3/1</t>
  </si>
  <si>
    <t>Разборка воздуховодов из листовой стали толщиной до 0,9 мм, диаметр/периметр до 320/1000 мм</t>
  </si>
  <si>
    <t>СН-2012.1. База. Сб.18-3104-1-3/1</t>
  </si>
  <si>
    <t>1.18-3104-1-4/1</t>
  </si>
  <si>
    <t>Разборка воздуховодов из листовой стали толщиной до 0,9 мм, диаметр/периметр до 495/1550 мм</t>
  </si>
  <si>
    <t>СН-2012.1. База. Сб.18-3104-1-4/1</t>
  </si>
  <si>
    <t>1.18-3104-1-5/1</t>
  </si>
  <si>
    <t>Разборка воздуховодов из листовой стали толщиной до 0,9 мм, диаметр/периметр до 660/2070 мм</t>
  </si>
  <si>
    <t>СН-2012.1. База. Сб.18-3104-1-5/1</t>
  </si>
  <si>
    <t>1.17-3304-1-1/1</t>
  </si>
  <si>
    <t>Демонтаж радиатора массой до 80 кг</t>
  </si>
  <si>
    <t>100 шт.</t>
  </si>
  <si>
    <t>СН-2012.1. База. Сб.17-3304-1-1/1</t>
  </si>
  <si>
    <t>1.18-3202-1-1/1</t>
  </si>
  <si>
    <t>Смена вентиляционных решеток стальных штампованных, тип РШ, размеры 200х200 мм</t>
  </si>
  <si>
    <t>СН-2012.1. База. Сб.18-3202-1-1/1</t>
  </si>
  <si>
    <t>1.18-3304-1-2/1</t>
  </si>
  <si>
    <t>Демонтаж центробежных вентиляторов массой до 0,12 т</t>
  </si>
  <si>
    <t>10 шт.</t>
  </si>
  <si>
    <t>СН-2012.1. База. Сб.18-3304-1-2/1</t>
  </si>
  <si>
    <t>Строительные работы</t>
  </si>
  <si>
    <t>1.13-3205-6-1/1</t>
  </si>
  <si>
    <t>Устройство огнезащитного покрытия воздуховодов приточно-вытяжных систем составом "Файрекс-300" с пределом огнестойкости 0,5 часа</t>
  </si>
  <si>
    <t>СН-2012.1. База. Сб.13-3205-6-1/1</t>
  </si>
  <si>
    <t>1.18-3101-1-1/1</t>
  </si>
  <si>
    <t>Ремонт вентиляционных коробов и каналов - прочистка каналов с пробивкой и заделкой отверстий</t>
  </si>
  <si>
    <t>100 м</t>
  </si>
  <si>
    <t>СН-2012.1. База. Сб.18-3101-1-1/1</t>
  </si>
  <si>
    <t>НДС</t>
  </si>
  <si>
    <t>НДС 18%</t>
  </si>
  <si>
    <t>ИТОГО</t>
  </si>
  <si>
    <t>Итого с НДС</t>
  </si>
  <si>
    <t>Возврат лома (негабаритный чугунный лом и отходы) 0,08 тн х 8063руб.</t>
  </si>
  <si>
    <t>Уровень цен на 01.01.2017 г</t>
  </si>
  <si>
    <t>_OBSM_</t>
  </si>
  <si>
    <t>9999990008</t>
  </si>
  <si>
    <t>Трудозатраты рабочих</t>
  </si>
  <si>
    <t>чел.-ч.</t>
  </si>
  <si>
    <t>21.1-10-274</t>
  </si>
  <si>
    <t>Канаты (тросы) стальные, без органического сердечника, тип ТК-1к9, светлые, диаметр 3,0 мм</t>
  </si>
  <si>
    <t>м</t>
  </si>
  <si>
    <t>22.1-13-14</t>
  </si>
  <si>
    <t>СН-2012.22. База. п.1-13-14 (136001)</t>
  </si>
  <si>
    <t>Установки для сварки ручной дуговой (постоянного тока)</t>
  </si>
  <si>
    <t>маш.-ч</t>
  </si>
  <si>
    <t>22.1-30-102</t>
  </si>
  <si>
    <t>СН-2012.22. База. п.1-30-102 (303704)</t>
  </si>
  <si>
    <t>Дрели электрические, двухскоростные, мощностью 600 Вт</t>
  </si>
  <si>
    <t>21.1-23-10</t>
  </si>
  <si>
    <t>СН-2012.21. База. Р.1, о.23, поз.10</t>
  </si>
  <si>
    <t>Электроды, тип Э-42А, диаметр 4-6 мм</t>
  </si>
  <si>
    <t>21.3-2-14</t>
  </si>
  <si>
    <t>СН-2012.21. База. Р.3, о.2, поз.14</t>
  </si>
  <si>
    <t>Растворы цементные, марка 75</t>
  </si>
  <si>
    <t>м3</t>
  </si>
  <si>
    <t>21.3-4-94</t>
  </si>
  <si>
    <t>СН-2012.21. База. Р.3, о.4, поз.94</t>
  </si>
  <si>
    <t>Арматурная сталь для изготовления арматурных изделий на строительной площадке, класс А-1, диаметр 12 мм</t>
  </si>
  <si>
    <t>21.1-11-21</t>
  </si>
  <si>
    <t>СН-2012.21. База. Р.1, о.11, поз.21</t>
  </si>
  <si>
    <t>Болты строительные черные с гайками и шайбами (10х100мм)</t>
  </si>
  <si>
    <t>21.1-23-9</t>
  </si>
  <si>
    <t>СН-2012.21. База. Р.1, о.23, поз.9</t>
  </si>
  <si>
    <t>Электроды, тип Э-42, 46, 50, диаметр 4 - 6 мм</t>
  </si>
  <si>
    <t>21.1-25-305</t>
  </si>
  <si>
    <t>СН-2012.21. База. Р.1, о.25, поз.305</t>
  </si>
  <si>
    <t>Резина техническая прессованная</t>
  </si>
  <si>
    <t>21.12-9-8</t>
  </si>
  <si>
    <t>СН-2012.21. База. Р.12, о.9, поз.8</t>
  </si>
  <si>
    <t>Фланцы стальные плоские приварные с соединительным выступом, из стали ВСт3СП, ГОСТ 12820-80, условное давление 1 (10) МПа (кгс/см2), диаметр условного прохода 40мм</t>
  </si>
  <si>
    <t>21.12-9-9</t>
  </si>
  <si>
    <t>СН-2012.21. База. Р.12, о.9, поз.9</t>
  </si>
  <si>
    <t>Фланцы стальные плоские приварные с соединительным выступом, из стали ВСт3СП, ГОСТ 12820-80, условное давление 1 (10) МПа (кгс/см2), диаметр условного прохода 50мм</t>
  </si>
  <si>
    <t>21.3-2-13</t>
  </si>
  <si>
    <t>СН-2012.21. База. Р.3, о.2, поз.13</t>
  </si>
  <si>
    <t>Растворы цементные, марка 50</t>
  </si>
  <si>
    <t>21.3-4-12</t>
  </si>
  <si>
    <t>СН-2012.21. База. Р.3, о.4, поз.12</t>
  </si>
  <si>
    <t>Арматурные заготовки (стержни, хомуты и т.п.), не собранные в каркасы или сетки, анкерные детали простые</t>
  </si>
  <si>
    <t>22.1-13-21</t>
  </si>
  <si>
    <t>СН-2012.22. База. п.1-13-21 (138501)</t>
  </si>
  <si>
    <t>Печи электрические для сушки сварочных материалов с регулированием температуры в пределах 80-500С</t>
  </si>
  <si>
    <t>22.1-30-46</t>
  </si>
  <si>
    <t>СН-2012.22. База. п.1-30-46 (308001)</t>
  </si>
  <si>
    <t>Преобразователи частоты тока до 500 А</t>
  </si>
  <si>
    <t>22.1-4-32</t>
  </si>
  <si>
    <t>СН-2012.22. База. п.1-4-32 (042904)</t>
  </si>
  <si>
    <t>Лебедки электрические, грузоподъемность до 2 т</t>
  </si>
  <si>
    <t>21.1-1-19</t>
  </si>
  <si>
    <t>СН-2012.21. База. Р.1, о.1, поз.19</t>
  </si>
  <si>
    <t>Мастика герметизирующая нетвердеющая, строительная, изоляционная, марка МБР-75, битумно-резиновая</t>
  </si>
  <si>
    <t>21.1-25-400</t>
  </si>
  <si>
    <t>СН-2012.21. База. Р.1, о.25, поз.400</t>
  </si>
  <si>
    <t>Шнур асбестовый общего назначения, марка ШАОН-1, диаметр 22-25 мм</t>
  </si>
  <si>
    <t>21.1-25-153</t>
  </si>
  <si>
    <t>СН-2012.21. База. Р.1, о.25, поз.153</t>
  </si>
  <si>
    <t>Лента термоизоляционная, "Армафлекс", ширина (толщина) 50 (3) мм</t>
  </si>
  <si>
    <t>21.1-6-42</t>
  </si>
  <si>
    <t>СН-2012.21. База. Р.1, о.6, поз.42</t>
  </si>
  <si>
    <t>Краски масляные жидкотертые цветные (готовые к употреблению) для наружных и внутренних работ, марка "Армафиниш"</t>
  </si>
  <si>
    <t>л</t>
  </si>
  <si>
    <t>Зонты вентиляционных систем из оцинкованной стали, прямоугольного сечения, 800х800мм</t>
  </si>
  <si>
    <t>21.19-12-56</t>
  </si>
  <si>
    <t>СН-2012.21. База. Р.19, о.12, поз.56</t>
  </si>
  <si>
    <t>Зонты вентиляционных систем из оцинкованной стали, прямоугольного сечения, 800х1000мм</t>
  </si>
  <si>
    <t>21.19-12-57</t>
  </si>
  <si>
    <t>СН-2012.21. База. Р.19, о.12, поз.57</t>
  </si>
  <si>
    <t>Зонты вентиляционных систем из оцинкованной стали, прямоугольного сечения, 800х1200мм</t>
  </si>
  <si>
    <t>21.1-11-13</t>
  </si>
  <si>
    <t>СН-2012.21. База. Р.1, о.11, поз.13</t>
  </si>
  <si>
    <t>Болты строительные анкерные с гайками</t>
  </si>
  <si>
    <t>21.1-11-95</t>
  </si>
  <si>
    <t>СН-2012.21. База. Р.1, о.11, поз.95</t>
  </si>
  <si>
    <t>Шайбы для болтов черные</t>
  </si>
  <si>
    <t>21.12-10-29</t>
  </si>
  <si>
    <t>СН-2012.21. База. Р.12, о.10, поз.29</t>
  </si>
  <si>
    <t>Фитинги (сгоны) из стальных водогазопроводных неоцинкованных труб для соединения стальных трубопроводов с муфтой и контргайкой, диаметр условного прохода до, мм, 40</t>
  </si>
  <si>
    <t>21.1-22-10</t>
  </si>
  <si>
    <t>СН-2012.21. База. Р.1, о.22, поз.10</t>
  </si>
  <si>
    <t>Картон строительный многослойный, толщина 6,5 мм</t>
  </si>
  <si>
    <t>21.1-25-16</t>
  </si>
  <si>
    <t>СН-2012.21. База. Р.1, о.25, поз.16</t>
  </si>
  <si>
    <t>Волокно льняное №11 для уплотнения резьбовых соединений при монтаже систем водоснабжения и отопления</t>
  </si>
  <si>
    <t>21.1-6-46</t>
  </si>
  <si>
    <t>СН-2012.21. База. Р.1, о.6, поз.46</t>
  </si>
  <si>
    <t>Краски масляные жидкотертые цветные (готовые к употреблению) для наружных и внутренних работ, марка МА-15, сурик железный для окраски по металлу</t>
  </si>
  <si>
    <t>21.1-6-90</t>
  </si>
  <si>
    <t>СН-2012.21. База. Р.1, о.6, поз.90</t>
  </si>
  <si>
    <t>Олифа для окраски комбинированная "Оксоль"</t>
  </si>
  <si>
    <t>9999990001</t>
  </si>
  <si>
    <t>Масса мусора</t>
  </si>
  <si>
    <t>21.1-2-2</t>
  </si>
  <si>
    <t>СН-2012.21. База. Р.1, о.2, поз.2</t>
  </si>
  <si>
    <t>Гипсовые вяжущие (гипс) для штукатурных работ</t>
  </si>
  <si>
    <t>21.19-11-22</t>
  </si>
  <si>
    <t>СН-2012.21. База. Р.19, о.11, поз.22</t>
  </si>
  <si>
    <t>Решетки вентиляционные стальные штампованные, тип РШ, размеры 200х200 мм</t>
  </si>
  <si>
    <t>22.1-10-5</t>
  </si>
  <si>
    <t>СН-2012.22. База. п.1-10-5 (101002)</t>
  </si>
  <si>
    <t>Компрессоры с дизельным двигателем прицепные до 5 м3/мин</t>
  </si>
  <si>
    <t>22.1-14-1</t>
  </si>
  <si>
    <t>СН-2012.22. База. п.1-14-1 (141001)</t>
  </si>
  <si>
    <t>Комплекты вакуумные, для устройства бетонных полов, тип СО-177</t>
  </si>
  <si>
    <t>21.1-20-7</t>
  </si>
  <si>
    <t>СН-2012.21. База. Р.1, о.20, поз.7</t>
  </si>
  <si>
    <t>Ветошь</t>
  </si>
  <si>
    <t>21.1-25-13</t>
  </si>
  <si>
    <t>СН-2012.21. База. Р.1, о.25, поз.13</t>
  </si>
  <si>
    <t>Вода</t>
  </si>
  <si>
    <t>21.1-25-255</t>
  </si>
  <si>
    <t>СН-2012.21. База. Р.1, о.25, поз.255</t>
  </si>
  <si>
    <t>Пленка полиэтиленовая, толщина 0,12 - 0,15 мм</t>
  </si>
  <si>
    <t>21.1-25-370</t>
  </si>
  <si>
    <t>СН-2012.21. База. Р.1, о.25, поз.370</t>
  </si>
  <si>
    <t>Ткани стеклянные конструкционные, марка Т-10</t>
  </si>
  <si>
    <t>21.1-25-655</t>
  </si>
  <si>
    <t>СН-2012.21. База. Р.1, о.25, поз.655</t>
  </si>
  <si>
    <t>Состав огнезащитный, марка "Файрекс-300", для воздуховодов</t>
  </si>
  <si>
    <t>21.1-6-111</t>
  </si>
  <si>
    <t>СН-2012.21. База. Р.1, о.6, поз.111</t>
  </si>
  <si>
    <t>Растворители универсальные № 645-650</t>
  </si>
  <si>
    <t>4863350000</t>
  </si>
  <si>
    <t>Клапаны противопожарные</t>
  </si>
  <si>
    <t>4863630000</t>
  </si>
  <si>
    <t>Решетки</t>
  </si>
  <si>
    <t>3631910000</t>
  </si>
  <si>
    <t>Насосы вихревые, центробежные</t>
  </si>
  <si>
    <t>5262170000</t>
  </si>
  <si>
    <t>Люки металлические</t>
  </si>
  <si>
    <t>3661410000</t>
  </si>
  <si>
    <t>Дроссель-клапаны</t>
  </si>
  <si>
    <t>4863640000</t>
  </si>
  <si>
    <t>Воздуховоды прямоугольного сечения</t>
  </si>
  <si>
    <t>4863730000</t>
  </si>
  <si>
    <t>Шиберы</t>
  </si>
  <si>
    <t>4863770000</t>
  </si>
  <si>
    <t>Средства крепления</t>
  </si>
  <si>
    <t>5256880000</t>
  </si>
  <si>
    <t>Сетки в рамках</t>
  </si>
  <si>
    <t>Заглушки питометражных лючков</t>
  </si>
  <si>
    <t>2246130000</t>
  </si>
  <si>
    <t>Листы (рулоны) теплоизоляционные</t>
  </si>
  <si>
    <t>2513110000</t>
  </si>
  <si>
    <t>Клеи резиновые</t>
  </si>
  <si>
    <t>Элементы крепления</t>
  </si>
  <si>
    <t>4863471000</t>
  </si>
  <si>
    <t>Камеры приточные</t>
  </si>
  <si>
    <t>4863310000</t>
  </si>
  <si>
    <t>Заслонки унифицированные или клапаны</t>
  </si>
  <si>
    <t>4863320000</t>
  </si>
  <si>
    <t>Клапаны обратные или обратные искробезопасные (486337)</t>
  </si>
  <si>
    <t>4861750000</t>
  </si>
  <si>
    <t>Вентиляторы радиальные</t>
  </si>
  <si>
    <t>4863760000</t>
  </si>
  <si>
    <t>Вставки гибкие</t>
  </si>
  <si>
    <t>"СОГЛАСОВАНО"</t>
  </si>
  <si>
    <t>"УТВЕРЖДАЮ"</t>
  </si>
  <si>
    <t>Форма № 1а (глава 1-5)</t>
  </si>
  <si>
    <t>"_____"________________ 2017 г.</t>
  </si>
  <si>
    <t>(локальный сметный расчет)</t>
  </si>
  <si>
    <t>(наименование работ и затрат, наименование объекта)</t>
  </si>
  <si>
    <t>Сметная стоимость</t>
  </si>
  <si>
    <t>тыс.руб</t>
  </si>
  <si>
    <t>Оборудование</t>
  </si>
  <si>
    <t>Прочие работы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</si>
  <si>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</si>
  <si>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</si>
  <si>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</si>
  <si>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</si>
  <si>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</si>
  <si>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</si>
  <si>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</si>
  <si>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</si>
  <si>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</si>
  <si>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Коэфф. пересчета</t>
  </si>
  <si>
    <t>ВСЕГО затрат, руб.</t>
  </si>
  <si>
    <t>Справочно</t>
  </si>
  <si>
    <t>ЗТР, всего чел.-час</t>
  </si>
  <si>
    <t>Ст-ть ед. с начислен.</t>
  </si>
  <si>
    <t xml:space="preserve">Составлен(а) в уровне текущих (прогнозных) цен январь 2017 года </t>
  </si>
  <si>
    <t>ЗП</t>
  </si>
  <si>
    <t>МР</t>
  </si>
  <si>
    <r>
      <t>Клапан огнезадерживающий КЛОП-2 с эл. приводом Белимо 500х500 цена=7990/1,18=6771,19</t>
    </r>
    <r>
      <rPr>
        <i/>
        <sz val="10"/>
        <rFont val="Arial"/>
        <family val="2"/>
      </rPr>
      <t xml:space="preserve">
Базисная стоимость: 6 771,19 = (7 990 / 1,18)</t>
    </r>
  </si>
  <si>
    <t>НР от ЗП</t>
  </si>
  <si>
    <t>%</t>
  </si>
  <si>
    <t>СП от ЗП</t>
  </si>
  <si>
    <t>ЗТР</t>
  </si>
  <si>
    <t>чел-ч</t>
  </si>
  <si>
    <t>ЭМ</t>
  </si>
  <si>
    <t>в т.ч. ЗПМ</t>
  </si>
  <si>
    <t>НР и СП от ЗПМ</t>
  </si>
  <si>
    <r>
      <t>Насос  ГНОМ 10-10 220/1,1 цена=8950/1,18=7584,75</t>
    </r>
    <r>
      <rPr>
        <i/>
        <sz val="10"/>
        <rFont val="Arial"/>
        <family val="2"/>
      </rPr>
      <t xml:space="preserve">
Базисная стоимость: 7 584,75 = (8 950 / 1,18)</t>
    </r>
  </si>
  <si>
    <r>
      <t>Дверь герметичная утепленная Дус 1,25х0,51 цена=4590/1,18=3889,83</t>
    </r>
    <r>
      <rPr>
        <i/>
        <sz val="10"/>
        <rFont val="Arial"/>
        <family val="2"/>
      </rPr>
      <t xml:space="preserve">
Базисная стоимость: 3 889,83 = (4 590 / 1,18)</t>
    </r>
  </si>
  <si>
    <r>
      <t>Лючок для прочистки воздуховодов цена=374/1,18=316,95</t>
    </r>
    <r>
      <rPr>
        <i/>
        <sz val="10"/>
        <rFont val="Arial"/>
        <family val="2"/>
      </rPr>
      <t xml:space="preserve">
Базисная стоимость: 316,95 = (374 / 1,18)</t>
    </r>
  </si>
  <si>
    <r>
      <t>Зонт над шахтой 720х720х100 ВЕТЕРРА цена=1683/1,18=1426,27</t>
    </r>
    <r>
      <rPr>
        <i/>
        <sz val="10"/>
        <rFont val="Arial"/>
        <family val="2"/>
      </rPr>
      <t xml:space="preserve">
Базисная стоимость: 1 426,27 = (1 683 / 1,18)</t>
    </r>
  </si>
  <si>
    <r>
      <t>Приточная установка П-1 в комплекте  ECO 160/1-1,2/1-А Shuft цена=36653/1,18=31061,86</t>
    </r>
    <r>
      <rPr>
        <i/>
        <sz val="10"/>
        <rFont val="Arial"/>
        <family val="2"/>
      </rPr>
      <t xml:space="preserve">
Базисная стоимость: 31 061,86 = (36 653 / 1,18)</t>
    </r>
  </si>
  <si>
    <r>
      <t>Вентилятор ВР-280-46-2,5(2,0) 2,2 кВт- 3000 об./мин. цена=8994,06/1,18=7622,08</t>
    </r>
    <r>
      <rPr>
        <i/>
        <sz val="10"/>
        <rFont val="Arial"/>
        <family val="2"/>
      </rPr>
      <t xml:space="preserve">
Базисная стоимость: 7 622,08 = (8 994,06 / 1,18)</t>
    </r>
  </si>
  <si>
    <t xml:space="preserve">Составил   </t>
  </si>
  <si>
    <t>[должность,подпись(инициалы,фамилия)]</t>
  </si>
  <si>
    <t xml:space="preserve">Проверил   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</si>
  <si>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</si>
  <si>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</si>
  <si>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</si>
  <si>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</si>
  <si>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№ п/п</t>
  </si>
  <si>
    <t>Количество</t>
  </si>
  <si>
    <t>Примечание</t>
  </si>
  <si>
    <t>Заказчик _________________</t>
  </si>
  <si>
    <t>Подрядчик _________________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</si>
  <si>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</si>
  <si>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</si>
  <si>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</si>
  <si>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</si>
  <si>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</si>
  <si>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</si>
  <si>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</si>
  <si>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</si>
  <si>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</si>
  <si>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</si>
  <si>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</si>
  <si>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</si>
  <si>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</si>
  <si>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</si>
  <si>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</si>
  <si>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</si>
  <si>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</si>
  <si>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</si>
  <si>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</si>
  <si>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</si>
  <si>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</si>
  <si>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</si>
  <si>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</si>
  <si>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</si>
  <si>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</si>
  <si>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</si>
  <si>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</si>
  <si>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</si>
  <si>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ГБОУ Школа №305" по адресу : проезд Черского, дом 27А  Вентиляция+экс ОБЩАЯ (СОВМЕЩЕННАЯ СМЕТА от вентиляциощиков  и 305)</t>
  </si>
  <si>
    <t>Обоснование</t>
  </si>
  <si>
    <t>Наименование</t>
  </si>
  <si>
    <t>Объем</t>
  </si>
  <si>
    <t>Базовая</t>
  </si>
  <si>
    <t>цена</t>
  </si>
  <si>
    <t>стоимость</t>
  </si>
  <si>
    <t xml:space="preserve">Локальная смета: </t>
  </si>
  <si>
    <t>Раздел: Монтажные работы</t>
  </si>
  <si>
    <t xml:space="preserve">Машины и механизмы </t>
  </si>
  <si>
    <t xml:space="preserve">Итого машины и механизмы </t>
  </si>
  <si>
    <t xml:space="preserve">Материальные ресурсы </t>
  </si>
  <si>
    <t xml:space="preserve">Итого материальные ресурсы </t>
  </si>
  <si>
    <t>Раздел: Демонтажные работы</t>
  </si>
  <si>
    <t>Раздел: Строительные работы</t>
  </si>
  <si>
    <t>Итого по локальной смете:</t>
  </si>
  <si>
    <t xml:space="preserve">Итого материалы заказчика </t>
  </si>
  <si>
    <t xml:space="preserve">Итого оборудование </t>
  </si>
  <si>
    <t>Итого по объекту: ГБОУ Школа №305" по адресу : проезд Черского, дом 27А  Вентиляция+экс ОБЩАЯ (СОВМЕЩЕННАЯ СМЕТА от вентиляциощиков  и 305)</t>
  </si>
  <si>
    <t>ГБОУ Школа №305" по адресу : проезд Черского, дом 27А  Вентиляция</t>
  </si>
  <si>
    <t>С учетом аукционного снижения 29%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</si>
</sst>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m"/>
    <numFmt numFmtId="177" formatCode="#,##0.00####;[Red]\-\ #,##0.00####"/>
    <numFmt numFmtId="178" formatCode="#,##0.00;[Red]\-\ #,##0.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76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177" fontId="12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right" wrapText="1"/>
    </xf>
    <xf numFmtId="178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0" fontId="0" fillId="0" borderId="13" xfId="0" applyBorder="1" applyAlignment="1">
      <alignment/>
    </xf>
    <xf numFmtId="178" fontId="19" fillId="0" borderId="13" xfId="0" applyNumberFormat="1" applyFont="1" applyBorder="1" applyAlignment="1">
      <alignment horizontal="right"/>
    </xf>
    <xf numFmtId="178" fontId="1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2" fillId="0" borderId="0" xfId="0" applyFont="1" applyAlignment="1" quotePrefix="1">
      <alignment horizontal="left" wrapText="1"/>
    </xf>
    <xf numFmtId="0" fontId="12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vertical="top"/>
    </xf>
    <xf numFmtId="0" fontId="13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top"/>
    </xf>
    <xf numFmtId="0" fontId="12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right"/>
    </xf>
    <xf numFmtId="0" fontId="13" fillId="0" borderId="12" xfId="0" applyFont="1" applyBorder="1" applyAlignment="1" quotePrefix="1">
      <alignment horizontal="center" vertical="center" wrapText="1"/>
    </xf>
    <xf numFmtId="49" fontId="12" fillId="0" borderId="12" xfId="0" applyNumberFormat="1" applyFont="1" applyBorder="1" applyAlignment="1">
      <alignment horizontal="left" vertical="top" wrapText="1"/>
    </xf>
    <xf numFmtId="178" fontId="12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  <xf numFmtId="178" fontId="12" fillId="0" borderId="0" xfId="0" applyNumberFormat="1" applyFont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78" fontId="19" fillId="0" borderId="13" xfId="0" applyNumberFormat="1" applyFont="1" applyBorder="1" applyAlignment="1">
      <alignment horizontal="right"/>
    </xf>
    <xf numFmtId="178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/>
    </xf>
    <xf numFmtId="177" fontId="12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/>
    </xf>
    <xf numFmtId="178" fontId="19" fillId="0" borderId="12" xfId="0" applyNumberFormat="1" applyFont="1" applyBorder="1" applyAlignment="1">
      <alignment horizontal="right"/>
    </xf>
    <xf numFmtId="0" fontId="13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6"/>
  <sheetViews>
    <sheetView tabSelected="1" zoomScalePageLayoutView="0" workbookViewId="0" topLeftCell="A311">
      <selection activeCell="A320" sqref="A320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6" width="11.7109375" style="0" customWidth="1"/>
    <col min="7" max="7" width="12.7109375" style="0" customWidth="1"/>
    <col min="9" max="11" width="12.7109375" style="0" customWidth="1"/>
    <col min="15" max="30" width="0" style="0" hidden="1" customWidth="1"/>
    <col min="31" max="31" width="149.140625" style="0" hidden="1" customWidth="1"/>
    <col min="32" max="32" width="113.140625" style="0" hidden="1" customWidth="1"/>
    <col min="33" max="33" width="0" style="0" hidden="1" customWidth="1"/>
    <col min="34" max="34" width="97.140625" style="0" hidden="1" customWidth="1"/>
    <col min="35" max="36" width="0" style="0" hidden="1" customWidth="1"/>
  </cols>
  <sheetData>
    <row r="1" ht="12.75">
      <c r="A1" s="8" t="str">
        <f>CONCATENATE(Source!B1,"     СН-2012 (© ОАО МЦЦС 'Мосстройцены', 2006)")</f>
        <v>Smeta.RU  (495) 974-1589     СН-2012 (© ОАО МЦЦС 'Мосстройцены', 2006)</v>
      </c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64" t="s">
        <v>453</v>
      </c>
      <c r="K2" s="64"/>
    </row>
    <row r="3" spans="1:11" ht="16.5">
      <c r="A3" s="11"/>
      <c r="B3" s="69" t="s">
        <v>451</v>
      </c>
      <c r="C3" s="69"/>
      <c r="D3" s="69"/>
      <c r="E3" s="69"/>
      <c r="F3" s="10"/>
      <c r="G3" s="69" t="s">
        <v>452</v>
      </c>
      <c r="H3" s="69"/>
      <c r="I3" s="69"/>
      <c r="J3" s="69"/>
      <c r="K3" s="69"/>
    </row>
    <row r="4" spans="1:11" ht="14.25">
      <c r="A4" s="10"/>
      <c r="B4" s="62"/>
      <c r="C4" s="62"/>
      <c r="D4" s="62"/>
      <c r="E4" s="62"/>
      <c r="F4" s="10"/>
      <c r="G4" s="62"/>
      <c r="H4" s="62"/>
      <c r="I4" s="62"/>
      <c r="J4" s="62"/>
      <c r="K4" s="62"/>
    </row>
    <row r="5" spans="1:11" ht="14.25">
      <c r="A5" s="13"/>
      <c r="B5" s="13"/>
      <c r="C5" s="14"/>
      <c r="D5" s="14"/>
      <c r="E5" s="14"/>
      <c r="F5" s="10"/>
      <c r="G5" s="12"/>
      <c r="H5" s="14"/>
      <c r="I5" s="14"/>
      <c r="J5" s="14"/>
      <c r="K5" s="12"/>
    </row>
    <row r="6" spans="1:11" ht="14.25">
      <c r="A6" s="12"/>
      <c r="B6" s="62" t="str">
        <f>CONCATENATE("______________________ ",IF(Source!AL12&lt;&gt;"",Source!AL12,""))</f>
        <v>______________________ </v>
      </c>
      <c r="C6" s="62"/>
      <c r="D6" s="62"/>
      <c r="E6" s="62"/>
      <c r="F6" s="10"/>
      <c r="G6" s="62" t="str">
        <f>CONCATENATE("______________________ ",IF(Source!AH12&lt;&gt;"",Source!AH12,""))</f>
        <v>______________________ </v>
      </c>
      <c r="H6" s="62"/>
      <c r="I6" s="62"/>
      <c r="J6" s="62"/>
      <c r="K6" s="62"/>
    </row>
    <row r="7" spans="1:11" ht="14.25">
      <c r="A7" s="15"/>
      <c r="B7" s="63" t="s">
        <v>454</v>
      </c>
      <c r="C7" s="63"/>
      <c r="D7" s="63"/>
      <c r="E7" s="63"/>
      <c r="F7" s="10"/>
      <c r="G7" s="63" t="s">
        <v>454</v>
      </c>
      <c r="H7" s="63"/>
      <c r="I7" s="63"/>
      <c r="J7" s="63"/>
      <c r="K7" s="63"/>
    </row>
    <row r="9" spans="1:11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31" ht="15.75">
      <c r="A10" s="65" t="str">
        <f>CONCATENATE("ЛОКАЛЬНАЯ СМЕТА № 8",IF(Source!F20&lt;&gt;"Новая локальная смета",Source!F20,""))</f>
        <v>ЛОКАЛЬНАЯ СМЕТА № 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AE10" s="16" t="str">
        <f>CONCATENATE("ЛОКАЛЬНАЯ СМЕТА № ",IF(Source!F20&lt;&gt;"Новая локальная смета",Source!F20,""))</f>
        <v>ЛОКАЛЬНАЯ СМЕТА № </v>
      </c>
    </row>
    <row r="11" spans="1:11" ht="12.75">
      <c r="A11" s="67" t="s">
        <v>455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31" ht="18" hidden="1">
      <c r="A13" s="68">
        <f>IF(Source!G20&lt;&gt;"Новая локальная смета",Source!G20,"")</f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AE13" s="17">
        <f>IF(Source!G20&lt;&gt;"Новая локальная смета",Source!G20,"")</f>
      </c>
    </row>
    <row r="14" spans="1:11" ht="14.2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31" ht="18">
      <c r="A15" s="70" t="str">
        <f>IF(Source!G12&lt;&gt;"Новый объект",Source!G12,"")</f>
        <v>ГБОУ Школа №305" по адресу : проезд Черского, дом 27А  Вентиляция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AE15" s="18" t="str">
        <f>IF(Source!G12&lt;&gt;"Новый объект",Source!G12,"")</f>
        <v>ГБОУ Школа №305" по адресу : проезд Черского, дом 27А  Вентиляция</v>
      </c>
    </row>
    <row r="16" spans="1:11" ht="12.75">
      <c r="A16" s="67" t="s">
        <v>456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31" ht="14.25">
      <c r="A18" s="72" t="str">
        <f>CONCATENATE("Основание: чертежи № ",Source!J20)</f>
        <v>Основание: чертежи № 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AE18" s="19" t="str">
        <f>CONCATENATE("Основание: чертежи № ",Source!J20)</f>
        <v>Основание: чертежи № </v>
      </c>
    </row>
    <row r="19" spans="1:11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10"/>
      <c r="B20" s="10"/>
      <c r="C20" s="10"/>
      <c r="D20" s="10"/>
      <c r="E20" s="10"/>
      <c r="F20" s="62" t="s">
        <v>457</v>
      </c>
      <c r="G20" s="62"/>
      <c r="H20" s="62"/>
      <c r="I20" s="73">
        <f>(Source!F205/1000)</f>
        <v>848.72962</v>
      </c>
      <c r="J20" s="64"/>
      <c r="K20" s="10" t="s">
        <v>458</v>
      </c>
    </row>
    <row r="21" spans="1:11" ht="14.25" hidden="1">
      <c r="A21" s="10"/>
      <c r="B21" s="10"/>
      <c r="C21" s="10"/>
      <c r="D21" s="10"/>
      <c r="E21" s="10"/>
      <c r="F21" s="62" t="s">
        <v>276</v>
      </c>
      <c r="G21" s="62"/>
      <c r="H21" s="62"/>
      <c r="I21" s="73">
        <f>(Source!F196)/1000</f>
        <v>0</v>
      </c>
      <c r="J21" s="64"/>
      <c r="K21" s="10" t="s">
        <v>458</v>
      </c>
    </row>
    <row r="22" spans="1:11" ht="14.25" hidden="1">
      <c r="A22" s="10"/>
      <c r="B22" s="10"/>
      <c r="C22" s="10"/>
      <c r="D22" s="10"/>
      <c r="E22" s="10"/>
      <c r="F22" s="62" t="s">
        <v>13</v>
      </c>
      <c r="G22" s="62"/>
      <c r="H22" s="62"/>
      <c r="I22" s="73">
        <f>(Source!F197)/1000</f>
        <v>0</v>
      </c>
      <c r="J22" s="64"/>
      <c r="K22" s="10" t="s">
        <v>458</v>
      </c>
    </row>
    <row r="23" spans="1:11" ht="14.25" hidden="1">
      <c r="A23" s="10"/>
      <c r="B23" s="10"/>
      <c r="C23" s="10"/>
      <c r="D23" s="10"/>
      <c r="E23" s="10"/>
      <c r="F23" s="62" t="s">
        <v>459</v>
      </c>
      <c r="G23" s="62"/>
      <c r="H23" s="62"/>
      <c r="I23" s="73">
        <f>(Source!F190)/1000</f>
        <v>0</v>
      </c>
      <c r="J23" s="64"/>
      <c r="K23" s="10" t="s">
        <v>458</v>
      </c>
    </row>
    <row r="24" spans="1:11" ht="14.25" hidden="1">
      <c r="A24" s="10"/>
      <c r="B24" s="10"/>
      <c r="C24" s="10"/>
      <c r="D24" s="10"/>
      <c r="E24" s="10"/>
      <c r="F24" s="62" t="s">
        <v>460</v>
      </c>
      <c r="G24" s="62"/>
      <c r="H24" s="62"/>
      <c r="I24" s="73">
        <f>(Source!F198)/1000</f>
        <v>848.72962</v>
      </c>
      <c r="J24" s="64"/>
      <c r="K24" s="10" t="s">
        <v>458</v>
      </c>
    </row>
    <row r="25" spans="1:11" ht="14.25">
      <c r="A25" s="10"/>
      <c r="B25" s="10"/>
      <c r="C25" s="10"/>
      <c r="D25" s="10"/>
      <c r="E25" s="10"/>
      <c r="F25" s="62" t="s">
        <v>461</v>
      </c>
      <c r="G25" s="62"/>
      <c r="H25" s="62"/>
      <c r="I25" s="73">
        <f>(Source!F195+Source!F194)/1000</f>
        <v>155.61907</v>
      </c>
      <c r="J25" s="64"/>
      <c r="K25" s="10" t="s">
        <v>458</v>
      </c>
    </row>
    <row r="26" spans="1:11" ht="14.25">
      <c r="A26" s="10" t="s">
        <v>475</v>
      </c>
      <c r="B26" s="10"/>
      <c r="C26" s="10"/>
      <c r="D26" s="20"/>
      <c r="E26" s="21"/>
      <c r="F26" s="10"/>
      <c r="G26" s="10"/>
      <c r="H26" s="10"/>
      <c r="I26" s="10"/>
      <c r="J26" s="10"/>
      <c r="K26" s="10"/>
    </row>
    <row r="27" spans="1:11" ht="14.25">
      <c r="A27" s="74" t="s">
        <v>462</v>
      </c>
      <c r="B27" s="74" t="s">
        <v>463</v>
      </c>
      <c r="C27" s="74" t="s">
        <v>464</v>
      </c>
      <c r="D27" s="74" t="s">
        <v>465</v>
      </c>
      <c r="E27" s="74" t="s">
        <v>466</v>
      </c>
      <c r="F27" s="74" t="s">
        <v>467</v>
      </c>
      <c r="G27" s="74" t="s">
        <v>468</v>
      </c>
      <c r="H27" s="74" t="s">
        <v>469</v>
      </c>
      <c r="I27" s="74" t="s">
        <v>470</v>
      </c>
      <c r="J27" s="74" t="s">
        <v>471</v>
      </c>
      <c r="K27" s="23" t="s">
        <v>472</v>
      </c>
    </row>
    <row r="28" spans="1:11" ht="28.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24" t="s">
        <v>473</v>
      </c>
    </row>
    <row r="29" spans="1:11" ht="28.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24" t="s">
        <v>474</v>
      </c>
    </row>
    <row r="30" spans="1:11" ht="14.25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4">
        <v>6</v>
      </c>
      <c r="G30" s="24">
        <v>7</v>
      </c>
      <c r="H30" s="24">
        <v>8</v>
      </c>
      <c r="I30" s="24">
        <v>9</v>
      </c>
      <c r="J30" s="24">
        <v>10</v>
      </c>
      <c r="K30" s="24">
        <v>11</v>
      </c>
    </row>
    <row r="32" spans="1:31" ht="16.5">
      <c r="A32" s="76" t="str">
        <f>CONCATENATE("Раздел: ",IF(Source!G24&lt;&gt;"Новый раздел",Source!G24,""))</f>
        <v>Раздел: Монтажные работы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AE32" s="25" t="str">
        <f>CONCATENATE("Раздел: ",IF(Source!G24&lt;&gt;"Новый раздел",Source!G24,""))</f>
        <v>Раздел: Монтажные работы</v>
      </c>
    </row>
    <row r="33" spans="1:22" ht="42.75">
      <c r="A33" s="26" t="str">
        <f>Source!E28</f>
        <v>1</v>
      </c>
      <c r="B33" s="27" t="str">
        <f>Source!F28</f>
        <v>1.18-3203-3-16/1</v>
      </c>
      <c r="C33" s="27" t="str">
        <f>Source!G28</f>
        <v>Установка клапанов огнезадерживающих периметром до 3200 мм (без стоимости клапанов)</v>
      </c>
      <c r="D33" s="28" t="str">
        <f>Source!H28</f>
        <v>шт.</v>
      </c>
      <c r="E33" s="9">
        <f>Source!I28</f>
        <v>2</v>
      </c>
      <c r="F33" s="30"/>
      <c r="G33" s="29"/>
      <c r="H33" s="9"/>
      <c r="I33" s="9"/>
      <c r="J33" s="31"/>
      <c r="K33" s="31"/>
      <c r="Q33">
        <f>ROUND((Source!BZ28/100)*ROUND((Source!AF28*Source!AV28)*Source!I28,2),2)</f>
        <v>1569.19</v>
      </c>
      <c r="R33">
        <f>Source!X28</f>
        <v>1569.19</v>
      </c>
      <c r="S33">
        <f>ROUND((Source!CA28/100)*ROUND((Source!AF28*Source!AV28)*Source!I28,2),2)</f>
        <v>224.17</v>
      </c>
      <c r="T33">
        <f>Source!Y28</f>
        <v>224.17</v>
      </c>
      <c r="U33">
        <f>ROUND((175/100)*ROUND((Source!AE28*Source!AV28)*Source!I28,2),2)</f>
        <v>0</v>
      </c>
      <c r="V33">
        <f>ROUND((108/100)*ROUND(Source!CS28*Source!I28,2),2)</f>
        <v>0</v>
      </c>
    </row>
    <row r="34" spans="1:11" ht="14.25">
      <c r="A34" s="26"/>
      <c r="B34" s="27"/>
      <c r="C34" s="27" t="s">
        <v>476</v>
      </c>
      <c r="D34" s="28"/>
      <c r="E34" s="9"/>
      <c r="F34" s="30">
        <f>Source!AO28</f>
        <v>1120.85</v>
      </c>
      <c r="G34" s="29">
        <f>Source!DG28</f>
      </c>
      <c r="H34" s="9">
        <f>Source!AV28</f>
        <v>1</v>
      </c>
      <c r="I34" s="9">
        <f>IF(Source!BA28&lt;&gt;0,Source!BA28,1)</f>
        <v>1</v>
      </c>
      <c r="J34" s="31">
        <f>Source!S28</f>
        <v>2241.7</v>
      </c>
      <c r="K34" s="31"/>
    </row>
    <row r="35" spans="1:11" ht="14.25">
      <c r="A35" s="26"/>
      <c r="B35" s="27"/>
      <c r="C35" s="27" t="s">
        <v>477</v>
      </c>
      <c r="D35" s="28"/>
      <c r="E35" s="9"/>
      <c r="F35" s="30">
        <f>Source!AL28</f>
        <v>63.1</v>
      </c>
      <c r="G35" s="29">
        <f>Source!DD28</f>
      </c>
      <c r="H35" s="9">
        <f>Source!AW28</f>
        <v>1</v>
      </c>
      <c r="I35" s="9">
        <f>IF(Source!BC28&lt;&gt;0,Source!BC28,1)</f>
        <v>1</v>
      </c>
      <c r="J35" s="31">
        <f>Source!P28</f>
        <v>126.2</v>
      </c>
      <c r="K35" s="31"/>
    </row>
    <row r="36" spans="1:22" ht="68.25">
      <c r="A36" s="26" t="str">
        <f>Source!E29</f>
        <v>1,1</v>
      </c>
      <c r="B36" s="27" t="str">
        <f>Source!F29</f>
        <v>цена поставщика Том 1. п.14</v>
      </c>
      <c r="C36" s="27" t="s">
        <v>478</v>
      </c>
      <c r="D36" s="28" t="str">
        <f>Source!H29</f>
        <v>ШТ</v>
      </c>
      <c r="E36" s="9">
        <f>Source!I29</f>
        <v>2</v>
      </c>
      <c r="F36" s="30">
        <f>Source!AK29</f>
        <v>6771.19</v>
      </c>
      <c r="G36" s="32" t="s">
        <v>3</v>
      </c>
      <c r="H36" s="9">
        <f>Source!AW29</f>
        <v>1</v>
      </c>
      <c r="I36" s="9">
        <f>IF(Source!BC29&lt;&gt;0,Source!BC29,1)</f>
        <v>1</v>
      </c>
      <c r="J36" s="31">
        <f>Source!O29</f>
        <v>13542.38</v>
      </c>
      <c r="K36" s="31"/>
      <c r="Q36">
        <f>ROUND((Source!BZ29/100)*ROUND((Source!AF29*Source!AV29)*Source!I29,2),2)</f>
        <v>0</v>
      </c>
      <c r="R36">
        <f>Source!X29</f>
        <v>0</v>
      </c>
      <c r="S36">
        <f>ROUND((Source!CA29/100)*ROUND((Source!AF29*Source!AV29)*Source!I29,2),2)</f>
        <v>0</v>
      </c>
      <c r="T36">
        <f>Source!Y29</f>
        <v>0</v>
      </c>
      <c r="U36">
        <f>ROUND((175/100)*ROUND((Source!AE29*Source!AV29)*Source!I29,2),2)</f>
        <v>0</v>
      </c>
      <c r="V36">
        <f>ROUND((108/100)*ROUND(Source!CS29*Source!I29,2),2)</f>
        <v>0</v>
      </c>
    </row>
    <row r="37" spans="1:11" ht="14.25">
      <c r="A37" s="26"/>
      <c r="B37" s="27"/>
      <c r="C37" s="27" t="s">
        <v>479</v>
      </c>
      <c r="D37" s="28" t="s">
        <v>480</v>
      </c>
      <c r="E37" s="9">
        <f>Source!AT28</f>
        <v>70</v>
      </c>
      <c r="F37" s="30"/>
      <c r="G37" s="29"/>
      <c r="H37" s="9"/>
      <c r="I37" s="9"/>
      <c r="J37" s="31">
        <f>SUM(R33:R36)</f>
        <v>1569.19</v>
      </c>
      <c r="K37" s="31"/>
    </row>
    <row r="38" spans="1:11" ht="14.25">
      <c r="A38" s="26"/>
      <c r="B38" s="27"/>
      <c r="C38" s="27" t="s">
        <v>481</v>
      </c>
      <c r="D38" s="28" t="s">
        <v>480</v>
      </c>
      <c r="E38" s="9">
        <f>Source!AU28</f>
        <v>10</v>
      </c>
      <c r="F38" s="30"/>
      <c r="G38" s="29"/>
      <c r="H38" s="9"/>
      <c r="I38" s="9"/>
      <c r="J38" s="31">
        <f>SUM(T33:T37)</f>
        <v>224.17</v>
      </c>
      <c r="K38" s="31"/>
    </row>
    <row r="39" spans="1:11" ht="14.25">
      <c r="A39" s="26"/>
      <c r="B39" s="27"/>
      <c r="C39" s="27" t="s">
        <v>482</v>
      </c>
      <c r="D39" s="28" t="s">
        <v>483</v>
      </c>
      <c r="E39" s="9">
        <f>Source!AQ28</f>
        <v>6.28</v>
      </c>
      <c r="F39" s="30"/>
      <c r="G39" s="29">
        <f>Source!DI28</f>
      </c>
      <c r="H39" s="9">
        <f>Source!AV28</f>
        <v>1</v>
      </c>
      <c r="I39" s="9"/>
      <c r="J39" s="31"/>
      <c r="K39" s="31">
        <f>Source!U28</f>
        <v>12.56</v>
      </c>
    </row>
    <row r="40" spans="1:16" ht="15">
      <c r="A40" s="35"/>
      <c r="B40" s="35"/>
      <c r="C40" s="35"/>
      <c r="D40" s="35"/>
      <c r="E40" s="35"/>
      <c r="F40" s="35"/>
      <c r="G40" s="35"/>
      <c r="H40" s="35"/>
      <c r="I40" s="77">
        <f>J34+J35+J37+J38+SUM(J36:J36)</f>
        <v>17703.64</v>
      </c>
      <c r="J40" s="77"/>
      <c r="K40" s="36">
        <f>IF(Source!I28&lt;&gt;0,ROUND(I40/Source!I28,2),0)</f>
        <v>8851.82</v>
      </c>
      <c r="P40" s="33">
        <f>I40</f>
        <v>17703.64</v>
      </c>
    </row>
    <row r="41" spans="1:22" ht="42.75">
      <c r="A41" s="26" t="str">
        <f>Source!E30</f>
        <v>2</v>
      </c>
      <c r="B41" s="27" t="str">
        <f>Source!F30</f>
        <v>1.18-3203-2-1/1</v>
      </c>
      <c r="C41" s="27" t="str">
        <f>Source!G30</f>
        <v>Установка решеток жалюзийных площадью в свету до 0,25 м2 (без стоимости решеток)</v>
      </c>
      <c r="D41" s="28" t="str">
        <f>Source!H30</f>
        <v>шт.</v>
      </c>
      <c r="E41" s="9">
        <f>Source!I30</f>
        <v>204</v>
      </c>
      <c r="F41" s="30"/>
      <c r="G41" s="29"/>
      <c r="H41" s="9"/>
      <c r="I41" s="9"/>
      <c r="J41" s="31"/>
      <c r="K41" s="31"/>
      <c r="Q41">
        <f>ROUND((Source!BZ30/100)*ROUND((Source!AF30*Source!AV30)*Source!I30,2),2)</f>
        <v>32032.9</v>
      </c>
      <c r="R41">
        <f>Source!X30</f>
        <v>32032.9</v>
      </c>
      <c r="S41">
        <f>ROUND((Source!CA30/100)*ROUND((Source!AF30*Source!AV30)*Source!I30,2),2)</f>
        <v>4576.13</v>
      </c>
      <c r="T41">
        <f>Source!Y30</f>
        <v>4576.13</v>
      </c>
      <c r="U41">
        <f>ROUND((175/100)*ROUND((Source!AE30*Source!AV30)*Source!I30,2),2)</f>
        <v>378.42</v>
      </c>
      <c r="V41">
        <f>ROUND((108/100)*ROUND(Source!CS30*Source!I30,2),2)</f>
        <v>233.54</v>
      </c>
    </row>
    <row r="42" spans="1:11" ht="14.25">
      <c r="A42" s="26"/>
      <c r="B42" s="27"/>
      <c r="C42" s="27" t="s">
        <v>476</v>
      </c>
      <c r="D42" s="28"/>
      <c r="E42" s="9"/>
      <c r="F42" s="30">
        <f>Source!AO30</f>
        <v>224.32</v>
      </c>
      <c r="G42" s="29">
        <f>Source!DG30</f>
      </c>
      <c r="H42" s="9">
        <f>Source!AV30</f>
        <v>1</v>
      </c>
      <c r="I42" s="9">
        <f>IF(Source!BA30&lt;&gt;0,Source!BA30,1)</f>
        <v>1</v>
      </c>
      <c r="J42" s="31">
        <f>Source!S30</f>
        <v>45761.28</v>
      </c>
      <c r="K42" s="31"/>
    </row>
    <row r="43" spans="1:11" ht="14.25">
      <c r="A43" s="26"/>
      <c r="B43" s="27"/>
      <c r="C43" s="27" t="s">
        <v>484</v>
      </c>
      <c r="D43" s="28"/>
      <c r="E43" s="9"/>
      <c r="F43" s="30">
        <f>Source!AM30</f>
        <v>6</v>
      </c>
      <c r="G43" s="29">
        <f>Source!DE30</f>
      </c>
      <c r="H43" s="9">
        <f>Source!AV30</f>
        <v>1</v>
      </c>
      <c r="I43" s="9">
        <f>IF(Source!BB30&lt;&gt;0,Source!BB30,1)</f>
        <v>1</v>
      </c>
      <c r="J43" s="31">
        <f>Source!Q30</f>
        <v>1224</v>
      </c>
      <c r="K43" s="31"/>
    </row>
    <row r="44" spans="1:11" ht="14.25">
      <c r="A44" s="26"/>
      <c r="B44" s="27"/>
      <c r="C44" s="27" t="s">
        <v>485</v>
      </c>
      <c r="D44" s="28"/>
      <c r="E44" s="9"/>
      <c r="F44" s="30">
        <f>Source!AN30</f>
        <v>1.06</v>
      </c>
      <c r="G44" s="29">
        <f>Source!DF30</f>
      </c>
      <c r="H44" s="9">
        <f>Source!AV30</f>
        <v>1</v>
      </c>
      <c r="I44" s="9">
        <f>IF(Source!BS30&lt;&gt;0,Source!BS30,1)</f>
        <v>1</v>
      </c>
      <c r="J44" s="37">
        <f>Source!R30</f>
        <v>216.24</v>
      </c>
      <c r="K44" s="31"/>
    </row>
    <row r="45" spans="1:11" ht="14.25">
      <c r="A45" s="26"/>
      <c r="B45" s="27"/>
      <c r="C45" s="27" t="s">
        <v>477</v>
      </c>
      <c r="D45" s="28"/>
      <c r="E45" s="9"/>
      <c r="F45" s="30">
        <f>Source!AL30</f>
        <v>25.55</v>
      </c>
      <c r="G45" s="29">
        <f>Source!DD30</f>
      </c>
      <c r="H45" s="9">
        <f>Source!AW30</f>
        <v>1</v>
      </c>
      <c r="I45" s="9">
        <f>IF(Source!BC30&lt;&gt;0,Source!BC30,1)</f>
        <v>1</v>
      </c>
      <c r="J45" s="31">
        <f>Source!P30</f>
        <v>5212.2</v>
      </c>
      <c r="K45" s="31"/>
    </row>
    <row r="46" spans="1:22" ht="57">
      <c r="A46" s="26" t="str">
        <f>Source!E31</f>
        <v>2,1</v>
      </c>
      <c r="B46" s="27" t="str">
        <f>Source!F31</f>
        <v>21.19-11-24</v>
      </c>
      <c r="C46" s="27" t="str">
        <f>Source!G31</f>
        <v>Решетки вентиляционные, жалюзийные, регулируемые, алюминиевые, марка АДР, размер 200х200 мм</v>
      </c>
      <c r="D46" s="28" t="str">
        <f>Source!H31</f>
        <v>шт.</v>
      </c>
      <c r="E46" s="9">
        <f>Source!I31</f>
        <v>60</v>
      </c>
      <c r="F46" s="30">
        <f>Source!AK31</f>
        <v>927.5</v>
      </c>
      <c r="G46" s="32" t="s">
        <v>3</v>
      </c>
      <c r="H46" s="9">
        <f>Source!AW31</f>
        <v>1</v>
      </c>
      <c r="I46" s="9">
        <f>IF(Source!BC31&lt;&gt;0,Source!BC31,1)</f>
        <v>1</v>
      </c>
      <c r="J46" s="31">
        <f>Source!O31</f>
        <v>55650</v>
      </c>
      <c r="K46" s="31"/>
      <c r="Q46">
        <f>ROUND((Source!BZ31/100)*ROUND((Source!AF31*Source!AV31)*Source!I31,2),2)</f>
        <v>0</v>
      </c>
      <c r="R46">
        <f>Source!X31</f>
        <v>0</v>
      </c>
      <c r="S46">
        <f>ROUND((Source!CA31/100)*ROUND((Source!AF31*Source!AV31)*Source!I31,2),2)</f>
        <v>0</v>
      </c>
      <c r="T46">
        <f>Source!Y31</f>
        <v>0</v>
      </c>
      <c r="U46">
        <f>ROUND((175/100)*ROUND((Source!AE31*Source!AV31)*Source!I31,2),2)</f>
        <v>0</v>
      </c>
      <c r="V46">
        <f>ROUND((108/100)*ROUND(Source!CS31*Source!I31,2),2)</f>
        <v>0</v>
      </c>
    </row>
    <row r="47" spans="1:22" ht="57">
      <c r="A47" s="26" t="str">
        <f>Source!E32</f>
        <v>2,2</v>
      </c>
      <c r="B47" s="27" t="str">
        <f>Source!F32</f>
        <v>21.19-11-31</v>
      </c>
      <c r="C47" s="27" t="str">
        <f>Source!G32</f>
        <v>Решетки вентиляционные, жалюзийные, регулируемые, алюминиевые, марка АМР, размер 150х150 мм</v>
      </c>
      <c r="D47" s="28" t="str">
        <f>Source!H32</f>
        <v>шт.</v>
      </c>
      <c r="E47" s="9">
        <f>Source!I32</f>
        <v>130</v>
      </c>
      <c r="F47" s="30">
        <f>Source!AK32</f>
        <v>559.21</v>
      </c>
      <c r="G47" s="32" t="s">
        <v>3</v>
      </c>
      <c r="H47" s="9">
        <f>Source!AW32</f>
        <v>1</v>
      </c>
      <c r="I47" s="9">
        <f>IF(Source!BC32&lt;&gt;0,Source!BC32,1)</f>
        <v>1</v>
      </c>
      <c r="J47" s="31">
        <f>Source!O32</f>
        <v>72697.3</v>
      </c>
      <c r="K47" s="31"/>
      <c r="Q47">
        <f>ROUND((Source!BZ32/100)*ROUND((Source!AF32*Source!AV32)*Source!I32,2),2)</f>
        <v>0</v>
      </c>
      <c r="R47">
        <f>Source!X32</f>
        <v>0</v>
      </c>
      <c r="S47">
        <f>ROUND((Source!CA32/100)*ROUND((Source!AF32*Source!AV32)*Source!I32,2),2)</f>
        <v>0</v>
      </c>
      <c r="T47">
        <f>Source!Y32</f>
        <v>0</v>
      </c>
      <c r="U47">
        <f>ROUND((175/100)*ROUND((Source!AE32*Source!AV32)*Source!I32,2),2)</f>
        <v>0</v>
      </c>
      <c r="V47">
        <f>ROUND((108/100)*ROUND(Source!CS32*Source!I32,2),2)</f>
        <v>0</v>
      </c>
    </row>
    <row r="48" spans="1:22" ht="42.75">
      <c r="A48" s="26" t="str">
        <f>Source!E33</f>
        <v>2,3</v>
      </c>
      <c r="B48" s="27" t="str">
        <f>Source!F33</f>
        <v>21.19-11-43</v>
      </c>
      <c r="C48" s="27" t="str">
        <f>Source!G33</f>
        <v>Решетки вентиляционные, жалюзийные, регулируемые, стальные, марка РС-Г, размер 325х225 мм</v>
      </c>
      <c r="D48" s="28" t="str">
        <f>Source!H33</f>
        <v>шт.</v>
      </c>
      <c r="E48" s="9">
        <f>Source!I33</f>
        <v>4</v>
      </c>
      <c r="F48" s="30">
        <f>Source!AK33</f>
        <v>443.31</v>
      </c>
      <c r="G48" s="32" t="s">
        <v>3</v>
      </c>
      <c r="H48" s="9">
        <f>Source!AW33</f>
        <v>1</v>
      </c>
      <c r="I48" s="9">
        <f>IF(Source!BC33&lt;&gt;0,Source!BC33,1)</f>
        <v>1</v>
      </c>
      <c r="J48" s="31">
        <f>Source!O33</f>
        <v>1773.24</v>
      </c>
      <c r="K48" s="31"/>
      <c r="Q48">
        <f>ROUND((Source!BZ33/100)*ROUND((Source!AF33*Source!AV33)*Source!I33,2),2)</f>
        <v>0</v>
      </c>
      <c r="R48">
        <f>Source!X33</f>
        <v>0</v>
      </c>
      <c r="S48">
        <f>ROUND((Source!CA33/100)*ROUND((Source!AF33*Source!AV33)*Source!I33,2),2)</f>
        <v>0</v>
      </c>
      <c r="T48">
        <f>Source!Y33</f>
        <v>0</v>
      </c>
      <c r="U48">
        <f>ROUND((175/100)*ROUND((Source!AE33*Source!AV33)*Source!I33,2),2)</f>
        <v>0</v>
      </c>
      <c r="V48">
        <f>ROUND((108/100)*ROUND(Source!CS33*Source!I33,2),2)</f>
        <v>0</v>
      </c>
    </row>
    <row r="49" spans="1:22" ht="42.75">
      <c r="A49" s="26" t="str">
        <f>Source!E34</f>
        <v>2,4</v>
      </c>
      <c r="B49" s="27" t="str">
        <f>Source!F34</f>
        <v>21.19-11-39</v>
      </c>
      <c r="C49" s="27" t="str">
        <f>Source!G34</f>
        <v>Решетки вентиляционные, жалюзийные, регулируемые, стальные, марка РС-Г, размер 225х125 мм</v>
      </c>
      <c r="D49" s="28" t="str">
        <f>Source!H34</f>
        <v>шт.</v>
      </c>
      <c r="E49" s="9">
        <f>Source!I34</f>
        <v>1</v>
      </c>
      <c r="F49" s="30">
        <f>Source!AK34</f>
        <v>328.69</v>
      </c>
      <c r="G49" s="32" t="s">
        <v>3</v>
      </c>
      <c r="H49" s="9">
        <f>Source!AW34</f>
        <v>1</v>
      </c>
      <c r="I49" s="9">
        <f>IF(Source!BC34&lt;&gt;0,Source!BC34,1)</f>
        <v>1</v>
      </c>
      <c r="J49" s="31">
        <f>Source!O34</f>
        <v>328.69</v>
      </c>
      <c r="K49" s="31"/>
      <c r="Q49">
        <f>ROUND((Source!BZ34/100)*ROUND((Source!AF34*Source!AV34)*Source!I34,2),2)</f>
        <v>0</v>
      </c>
      <c r="R49">
        <f>Source!X34</f>
        <v>0</v>
      </c>
      <c r="S49">
        <f>ROUND((Source!CA34/100)*ROUND((Source!AF34*Source!AV34)*Source!I34,2),2)</f>
        <v>0</v>
      </c>
      <c r="T49">
        <f>Source!Y34</f>
        <v>0</v>
      </c>
      <c r="U49">
        <f>ROUND((175/100)*ROUND((Source!AE34*Source!AV34)*Source!I34,2),2)</f>
        <v>0</v>
      </c>
      <c r="V49">
        <f>ROUND((108/100)*ROUND(Source!CS34*Source!I34,2),2)</f>
        <v>0</v>
      </c>
    </row>
    <row r="50" spans="1:22" ht="42.75">
      <c r="A50" s="26" t="str">
        <f>Source!E35</f>
        <v>2,5</v>
      </c>
      <c r="B50" s="27" t="str">
        <f>Source!F35</f>
        <v>21.19-11-49</v>
      </c>
      <c r="C50" s="27" t="str">
        <f>Source!G35</f>
        <v>Решетки вентиляционные, жалюзийные, регулируемые, стальные, марка РС-Г, размер 525х225 мм</v>
      </c>
      <c r="D50" s="28" t="str">
        <f>Source!H35</f>
        <v>шт.</v>
      </c>
      <c r="E50" s="9">
        <f>Source!I35</f>
        <v>8</v>
      </c>
      <c r="F50" s="30">
        <f>Source!AK35</f>
        <v>658.5</v>
      </c>
      <c r="G50" s="32" t="s">
        <v>3</v>
      </c>
      <c r="H50" s="9">
        <f>Source!AW35</f>
        <v>1</v>
      </c>
      <c r="I50" s="9">
        <f>IF(Source!BC35&lt;&gt;0,Source!BC35,1)</f>
        <v>1</v>
      </c>
      <c r="J50" s="31">
        <f>Source!O35</f>
        <v>5268</v>
      </c>
      <c r="K50" s="31"/>
      <c r="Q50">
        <f>ROUND((Source!BZ35/100)*ROUND((Source!AF35*Source!AV35)*Source!I35,2),2)</f>
        <v>0</v>
      </c>
      <c r="R50">
        <f>Source!X35</f>
        <v>0</v>
      </c>
      <c r="S50">
        <f>ROUND((Source!CA35/100)*ROUND((Source!AF35*Source!AV35)*Source!I35,2),2)</f>
        <v>0</v>
      </c>
      <c r="T50">
        <f>Source!Y35</f>
        <v>0</v>
      </c>
      <c r="U50">
        <f>ROUND((175/100)*ROUND((Source!AE35*Source!AV35)*Source!I35,2),2)</f>
        <v>0</v>
      </c>
      <c r="V50">
        <f>ROUND((108/100)*ROUND(Source!CS35*Source!I35,2),2)</f>
        <v>0</v>
      </c>
    </row>
    <row r="51" spans="1:22" ht="42.75">
      <c r="A51" s="26" t="str">
        <f>Source!E36</f>
        <v>2,6</v>
      </c>
      <c r="B51" s="27" t="str">
        <f>Source!F36</f>
        <v>21.19-11-40</v>
      </c>
      <c r="C51" s="27" t="str">
        <f>Source!G36</f>
        <v>Решетки вентиляционные, жалюзийные, регулируемые, стальные, марка РС-Г, размер 225х225 мм</v>
      </c>
      <c r="D51" s="28" t="str">
        <f>Source!H36</f>
        <v>шт.</v>
      </c>
      <c r="E51" s="9">
        <f>Source!I36</f>
        <v>1</v>
      </c>
      <c r="F51" s="30">
        <f>Source!AK36</f>
        <v>425.16</v>
      </c>
      <c r="G51" s="32" t="s">
        <v>3</v>
      </c>
      <c r="H51" s="9">
        <f>Source!AW36</f>
        <v>1</v>
      </c>
      <c r="I51" s="9">
        <f>IF(Source!BC36&lt;&gt;0,Source!BC36,1)</f>
        <v>1</v>
      </c>
      <c r="J51" s="31">
        <f>Source!O36</f>
        <v>425.16</v>
      </c>
      <c r="K51" s="31"/>
      <c r="Q51">
        <f>ROUND((Source!BZ36/100)*ROUND((Source!AF36*Source!AV36)*Source!I36,2),2)</f>
        <v>0</v>
      </c>
      <c r="R51">
        <f>Source!X36</f>
        <v>0</v>
      </c>
      <c r="S51">
        <f>ROUND((Source!CA36/100)*ROUND((Source!AF36*Source!AV36)*Source!I36,2),2)</f>
        <v>0</v>
      </c>
      <c r="T51">
        <f>Source!Y36</f>
        <v>0</v>
      </c>
      <c r="U51">
        <f>ROUND((175/100)*ROUND((Source!AE36*Source!AV36)*Source!I36,2),2)</f>
        <v>0</v>
      </c>
      <c r="V51">
        <f>ROUND((108/100)*ROUND(Source!CS36*Source!I36,2),2)</f>
        <v>0</v>
      </c>
    </row>
    <row r="52" spans="1:11" ht="14.25">
      <c r="A52" s="26"/>
      <c r="B52" s="27"/>
      <c r="C52" s="27" t="s">
        <v>479</v>
      </c>
      <c r="D52" s="28" t="s">
        <v>480</v>
      </c>
      <c r="E52" s="9">
        <f>Source!AT30</f>
        <v>70</v>
      </c>
      <c r="F52" s="30"/>
      <c r="G52" s="29"/>
      <c r="H52" s="9"/>
      <c r="I52" s="9"/>
      <c r="J52" s="31">
        <f>SUM(R41:R51)</f>
        <v>32032.9</v>
      </c>
      <c r="K52" s="31"/>
    </row>
    <row r="53" spans="1:11" ht="14.25">
      <c r="A53" s="26"/>
      <c r="B53" s="27"/>
      <c r="C53" s="27" t="s">
        <v>481</v>
      </c>
      <c r="D53" s="28" t="s">
        <v>480</v>
      </c>
      <c r="E53" s="9">
        <f>Source!AU30</f>
        <v>10</v>
      </c>
      <c r="F53" s="30"/>
      <c r="G53" s="29"/>
      <c r="H53" s="9"/>
      <c r="I53" s="9"/>
      <c r="J53" s="31">
        <f>SUM(T41:T52)</f>
        <v>4576.13</v>
      </c>
      <c r="K53" s="31"/>
    </row>
    <row r="54" spans="1:11" ht="14.25">
      <c r="A54" s="26"/>
      <c r="B54" s="27"/>
      <c r="C54" s="27" t="s">
        <v>486</v>
      </c>
      <c r="D54" s="28" t="s">
        <v>480</v>
      </c>
      <c r="E54" s="9">
        <f>108</f>
        <v>108</v>
      </c>
      <c r="F54" s="30"/>
      <c r="G54" s="29"/>
      <c r="H54" s="9"/>
      <c r="I54" s="9"/>
      <c r="J54" s="31">
        <f>SUM(V41:V53)</f>
        <v>233.54</v>
      </c>
      <c r="K54" s="31"/>
    </row>
    <row r="55" spans="1:11" ht="14.25">
      <c r="A55" s="26"/>
      <c r="B55" s="27"/>
      <c r="C55" s="27" t="s">
        <v>482</v>
      </c>
      <c r="D55" s="28" t="s">
        <v>483</v>
      </c>
      <c r="E55" s="9">
        <f>Source!AQ30</f>
        <v>1.23</v>
      </c>
      <c r="F55" s="30"/>
      <c r="G55" s="29">
        <f>Source!DI30</f>
      </c>
      <c r="H55" s="9">
        <f>Source!AV30</f>
        <v>1</v>
      </c>
      <c r="I55" s="9"/>
      <c r="J55" s="31"/>
      <c r="K55" s="31">
        <f>Source!U30</f>
        <v>250.92</v>
      </c>
    </row>
    <row r="56" spans="1:16" ht="15">
      <c r="A56" s="35"/>
      <c r="B56" s="35"/>
      <c r="C56" s="35"/>
      <c r="D56" s="35"/>
      <c r="E56" s="35"/>
      <c r="F56" s="35"/>
      <c r="G56" s="35"/>
      <c r="H56" s="35"/>
      <c r="I56" s="77">
        <f>J42+J43+J45+J52+J53+J54+SUM(J46:J51)</f>
        <v>225182.44</v>
      </c>
      <c r="J56" s="77"/>
      <c r="K56" s="36">
        <f>IF(Source!I30&lt;&gt;0,ROUND(I56/Source!I30,2),0)</f>
        <v>1103.84</v>
      </c>
      <c r="P56" s="33">
        <f>I56</f>
        <v>225182.44</v>
      </c>
    </row>
    <row r="57" spans="1:22" ht="42.75">
      <c r="A57" s="26" t="str">
        <f>Source!E37</f>
        <v>3</v>
      </c>
      <c r="B57" s="27" t="str">
        <f>Source!F37</f>
        <v>1.17-3103-10-1/1</v>
      </c>
      <c r="C57" s="27" t="str">
        <f>Source!G37</f>
        <v>Установка насосов центробежных с электродвигателем массой агрегата до 0,1 т (без стоимости насосов)</v>
      </c>
      <c r="D57" s="28" t="str">
        <f>Source!H37</f>
        <v>компл.</v>
      </c>
      <c r="E57" s="9">
        <f>Source!I37</f>
        <v>1</v>
      </c>
      <c r="F57" s="30"/>
      <c r="G57" s="29"/>
      <c r="H57" s="9"/>
      <c r="I57" s="9"/>
      <c r="J57" s="31"/>
      <c r="K57" s="31"/>
      <c r="Q57">
        <f>ROUND((Source!BZ37/100)*ROUND((Source!AF37*Source!AV37)*Source!I37,2),2)</f>
        <v>2030.63</v>
      </c>
      <c r="R57">
        <f>Source!X37</f>
        <v>2030.63</v>
      </c>
      <c r="S57">
        <f>ROUND((Source!CA37/100)*ROUND((Source!AF37*Source!AV37)*Source!I37,2),2)</f>
        <v>290.09</v>
      </c>
      <c r="T57">
        <f>Source!Y37</f>
        <v>290.09</v>
      </c>
      <c r="U57">
        <f>ROUND((175/100)*ROUND((Source!AE37*Source!AV37)*Source!I37,2),2)</f>
        <v>6.72</v>
      </c>
      <c r="V57">
        <f>ROUND((108/100)*ROUND(Source!CS37*Source!I37,2),2)</f>
        <v>4.15</v>
      </c>
    </row>
    <row r="58" spans="1:11" ht="14.25">
      <c r="A58" s="26"/>
      <c r="B58" s="27"/>
      <c r="C58" s="27" t="s">
        <v>476</v>
      </c>
      <c r="D58" s="28"/>
      <c r="E58" s="9"/>
      <c r="F58" s="30">
        <f>Source!AO37</f>
        <v>2900.9</v>
      </c>
      <c r="G58" s="29">
        <f>Source!DG37</f>
      </c>
      <c r="H58" s="9">
        <f>Source!AV37</f>
        <v>1</v>
      </c>
      <c r="I58" s="9">
        <f>IF(Source!BA37&lt;&gt;0,Source!BA37,1)</f>
        <v>1</v>
      </c>
      <c r="J58" s="31">
        <f>Source!S37</f>
        <v>2900.9</v>
      </c>
      <c r="K58" s="31"/>
    </row>
    <row r="59" spans="1:11" ht="14.25">
      <c r="A59" s="26"/>
      <c r="B59" s="27"/>
      <c r="C59" s="27" t="s">
        <v>484</v>
      </c>
      <c r="D59" s="28"/>
      <c r="E59" s="9"/>
      <c r="F59" s="30">
        <f>Source!AM37</f>
        <v>18.38</v>
      </c>
      <c r="G59" s="29">
        <f>Source!DE37</f>
      </c>
      <c r="H59" s="9">
        <f>Source!AV37</f>
        <v>1</v>
      </c>
      <c r="I59" s="9">
        <f>IF(Source!BB37&lt;&gt;0,Source!BB37,1)</f>
        <v>1</v>
      </c>
      <c r="J59" s="31">
        <f>Source!Q37</f>
        <v>18.38</v>
      </c>
      <c r="K59" s="31"/>
    </row>
    <row r="60" spans="1:11" ht="14.25">
      <c r="A60" s="26"/>
      <c r="B60" s="27"/>
      <c r="C60" s="27" t="s">
        <v>485</v>
      </c>
      <c r="D60" s="28"/>
      <c r="E60" s="9"/>
      <c r="F60" s="30">
        <f>Source!AN37</f>
        <v>3.84</v>
      </c>
      <c r="G60" s="29">
        <f>Source!DF37</f>
      </c>
      <c r="H60" s="9">
        <f>Source!AV37</f>
        <v>1</v>
      </c>
      <c r="I60" s="9">
        <f>IF(Source!BS37&lt;&gt;0,Source!BS37,1)</f>
        <v>1</v>
      </c>
      <c r="J60" s="37">
        <f>Source!R37</f>
        <v>3.84</v>
      </c>
      <c r="K60" s="31"/>
    </row>
    <row r="61" spans="1:11" ht="14.25">
      <c r="A61" s="26"/>
      <c r="B61" s="27"/>
      <c r="C61" s="27" t="s">
        <v>477</v>
      </c>
      <c r="D61" s="28"/>
      <c r="E61" s="9"/>
      <c r="F61" s="30">
        <f>Source!AL37</f>
        <v>564.96</v>
      </c>
      <c r="G61" s="29">
        <f>Source!DD37</f>
      </c>
      <c r="H61" s="9">
        <f>Source!AW37</f>
        <v>1</v>
      </c>
      <c r="I61" s="9">
        <f>IF(Source!BC37&lt;&gt;0,Source!BC37,1)</f>
        <v>1</v>
      </c>
      <c r="J61" s="31">
        <f>Source!P37</f>
        <v>564.96</v>
      </c>
      <c r="K61" s="31"/>
    </row>
    <row r="62" spans="1:22" ht="54">
      <c r="A62" s="26" t="str">
        <f>Source!E38</f>
        <v>3,1</v>
      </c>
      <c r="B62" s="27" t="str">
        <f>Source!F38</f>
        <v>цена поставщика Том1 п.1</v>
      </c>
      <c r="C62" s="27" t="s">
        <v>487</v>
      </c>
      <c r="D62" s="28" t="str">
        <f>Source!H38</f>
        <v>ШТ</v>
      </c>
      <c r="E62" s="9">
        <f>Source!I38</f>
        <v>1</v>
      </c>
      <c r="F62" s="30">
        <f>Source!AK38</f>
        <v>7584.75</v>
      </c>
      <c r="G62" s="32" t="s">
        <v>3</v>
      </c>
      <c r="H62" s="9">
        <f>Source!AW38</f>
        <v>1</v>
      </c>
      <c r="I62" s="9">
        <f>IF(Source!BC38&lt;&gt;0,Source!BC38,1)</f>
        <v>1</v>
      </c>
      <c r="J62" s="31">
        <f>Source!O38</f>
        <v>7584.75</v>
      </c>
      <c r="K62" s="31"/>
      <c r="Q62">
        <f>ROUND((Source!BZ38/100)*ROUND((Source!AF38*Source!AV38)*Source!I38,2),2)</f>
        <v>0</v>
      </c>
      <c r="R62">
        <f>Source!X38</f>
        <v>0</v>
      </c>
      <c r="S62">
        <f>ROUND((Source!CA38/100)*ROUND((Source!AF38*Source!AV38)*Source!I38,2),2)</f>
        <v>0</v>
      </c>
      <c r="T62">
        <f>Source!Y38</f>
        <v>0</v>
      </c>
      <c r="U62">
        <f>ROUND((175/100)*ROUND((Source!AE38*Source!AV38)*Source!I38,2),2)</f>
        <v>0</v>
      </c>
      <c r="V62">
        <f>ROUND((108/100)*ROUND(Source!CS38*Source!I38,2),2)</f>
        <v>0</v>
      </c>
    </row>
    <row r="63" spans="1:11" ht="14.25">
      <c r="A63" s="26"/>
      <c r="B63" s="27"/>
      <c r="C63" s="27" t="s">
        <v>479</v>
      </c>
      <c r="D63" s="28" t="s">
        <v>480</v>
      </c>
      <c r="E63" s="9">
        <f>Source!AT37</f>
        <v>70</v>
      </c>
      <c r="F63" s="30"/>
      <c r="G63" s="29"/>
      <c r="H63" s="9"/>
      <c r="I63" s="9"/>
      <c r="J63" s="31">
        <f>SUM(R57:R62)</f>
        <v>2030.63</v>
      </c>
      <c r="K63" s="31"/>
    </row>
    <row r="64" spans="1:11" ht="14.25">
      <c r="A64" s="26"/>
      <c r="B64" s="27"/>
      <c r="C64" s="27" t="s">
        <v>481</v>
      </c>
      <c r="D64" s="28" t="s">
        <v>480</v>
      </c>
      <c r="E64" s="9">
        <f>Source!AU37</f>
        <v>10</v>
      </c>
      <c r="F64" s="30"/>
      <c r="G64" s="29"/>
      <c r="H64" s="9"/>
      <c r="I64" s="9"/>
      <c r="J64" s="31">
        <f>SUM(T57:T63)</f>
        <v>290.09</v>
      </c>
      <c r="K64" s="31"/>
    </row>
    <row r="65" spans="1:11" ht="14.25">
      <c r="A65" s="26"/>
      <c r="B65" s="27"/>
      <c r="C65" s="27" t="s">
        <v>486</v>
      </c>
      <c r="D65" s="28" t="s">
        <v>480</v>
      </c>
      <c r="E65" s="9">
        <f>108</f>
        <v>108</v>
      </c>
      <c r="F65" s="30"/>
      <c r="G65" s="29"/>
      <c r="H65" s="9"/>
      <c r="I65" s="9"/>
      <c r="J65" s="31">
        <f>SUM(V57:V64)</f>
        <v>4.15</v>
      </c>
      <c r="K65" s="31"/>
    </row>
    <row r="66" spans="1:11" ht="14.25">
      <c r="A66" s="26"/>
      <c r="B66" s="27"/>
      <c r="C66" s="27" t="s">
        <v>482</v>
      </c>
      <c r="D66" s="28" t="s">
        <v>483</v>
      </c>
      <c r="E66" s="9">
        <f>Source!AQ37</f>
        <v>14.95</v>
      </c>
      <c r="F66" s="30"/>
      <c r="G66" s="29">
        <f>Source!DI37</f>
      </c>
      <c r="H66" s="9">
        <f>Source!AV37</f>
        <v>1</v>
      </c>
      <c r="I66" s="9"/>
      <c r="J66" s="31"/>
      <c r="K66" s="31">
        <f>Source!U37</f>
        <v>14.95</v>
      </c>
    </row>
    <row r="67" spans="1:16" ht="15">
      <c r="A67" s="35"/>
      <c r="B67" s="35"/>
      <c r="C67" s="35"/>
      <c r="D67" s="35"/>
      <c r="E67" s="35"/>
      <c r="F67" s="35"/>
      <c r="G67" s="35"/>
      <c r="H67" s="35"/>
      <c r="I67" s="77">
        <f>J58+J59+J61+J63+J64+J65+SUM(J62:J62)</f>
        <v>13393.86</v>
      </c>
      <c r="J67" s="77"/>
      <c r="K67" s="36">
        <f>IF(Source!I37&lt;&gt;0,ROUND(I67/Source!I37,2),0)</f>
        <v>13393.86</v>
      </c>
      <c r="P67" s="33">
        <f>I67</f>
        <v>13393.86</v>
      </c>
    </row>
    <row r="68" spans="1:22" ht="28.5">
      <c r="A68" s="26" t="str">
        <f>Source!E39</f>
        <v>4</v>
      </c>
      <c r="B68" s="27" t="str">
        <f>Source!F39</f>
        <v>1.11-3303-5-2/1</v>
      </c>
      <c r="C68" s="27" t="str">
        <f>Source!G39</f>
        <v>Монтаж металлических конструкций люков (без стоимости люков)</v>
      </c>
      <c r="D68" s="28" t="str">
        <f>Source!H39</f>
        <v>т</v>
      </c>
      <c r="E68" s="9">
        <f>Source!I39</f>
        <v>0.0303</v>
      </c>
      <c r="F68" s="30"/>
      <c r="G68" s="29"/>
      <c r="H68" s="9"/>
      <c r="I68" s="9"/>
      <c r="J68" s="31"/>
      <c r="K68" s="31"/>
      <c r="Q68">
        <f>ROUND((Source!BZ39/100)*ROUND((Source!AF39*Source!AV39)*Source!I39,2),2)</f>
        <v>430.39</v>
      </c>
      <c r="R68">
        <f>Source!X39</f>
        <v>430.39</v>
      </c>
      <c r="S68">
        <f>ROUND((Source!CA39/100)*ROUND((Source!AF39*Source!AV39)*Source!I39,2),2)</f>
        <v>61.48</v>
      </c>
      <c r="T68">
        <f>Source!Y39</f>
        <v>61.48</v>
      </c>
      <c r="U68">
        <f>ROUND((175/100)*ROUND((Source!AE39*Source!AV39)*Source!I39,2),2)</f>
        <v>0.07</v>
      </c>
      <c r="V68">
        <f>ROUND((108/100)*ROUND(Source!CS39*Source!I39,2),2)</f>
        <v>0.04</v>
      </c>
    </row>
    <row r="69" spans="1:11" ht="14.25">
      <c r="A69" s="26"/>
      <c r="B69" s="27"/>
      <c r="C69" s="27" t="s">
        <v>476</v>
      </c>
      <c r="D69" s="28"/>
      <c r="E69" s="9"/>
      <c r="F69" s="30">
        <f>Source!AO39</f>
        <v>20291.8</v>
      </c>
      <c r="G69" s="29">
        <f>Source!DG39</f>
      </c>
      <c r="H69" s="9">
        <f>Source!AV39</f>
        <v>1</v>
      </c>
      <c r="I69" s="9">
        <f>IF(Source!BA39&lt;&gt;0,Source!BA39,1)</f>
        <v>1</v>
      </c>
      <c r="J69" s="31">
        <f>Source!S39</f>
        <v>614.84</v>
      </c>
      <c r="K69" s="31"/>
    </row>
    <row r="70" spans="1:11" ht="14.25">
      <c r="A70" s="26"/>
      <c r="B70" s="27"/>
      <c r="C70" s="27" t="s">
        <v>484</v>
      </c>
      <c r="D70" s="28"/>
      <c r="E70" s="9"/>
      <c r="F70" s="30">
        <f>Source!AM39</f>
        <v>25.68</v>
      </c>
      <c r="G70" s="29">
        <f>Source!DE39</f>
      </c>
      <c r="H70" s="9">
        <f>Source!AV39</f>
        <v>1</v>
      </c>
      <c r="I70" s="9">
        <f>IF(Source!BB39&lt;&gt;0,Source!BB39,1)</f>
        <v>1</v>
      </c>
      <c r="J70" s="31">
        <f>Source!Q39</f>
        <v>0.78</v>
      </c>
      <c r="K70" s="31"/>
    </row>
    <row r="71" spans="1:11" ht="14.25">
      <c r="A71" s="26"/>
      <c r="B71" s="27"/>
      <c r="C71" s="27" t="s">
        <v>485</v>
      </c>
      <c r="D71" s="28"/>
      <c r="E71" s="9"/>
      <c r="F71" s="30">
        <f>Source!AN39</f>
        <v>1.39</v>
      </c>
      <c r="G71" s="29">
        <f>Source!DF39</f>
      </c>
      <c r="H71" s="9">
        <f>Source!AV39</f>
        <v>1</v>
      </c>
      <c r="I71" s="9">
        <f>IF(Source!BS39&lt;&gt;0,Source!BS39,1)</f>
        <v>1</v>
      </c>
      <c r="J71" s="37">
        <f>Source!R39</f>
        <v>0.04</v>
      </c>
      <c r="K71" s="31"/>
    </row>
    <row r="72" spans="1:11" ht="14.25">
      <c r="A72" s="26"/>
      <c r="B72" s="27"/>
      <c r="C72" s="27" t="s">
        <v>477</v>
      </c>
      <c r="D72" s="28"/>
      <c r="E72" s="9"/>
      <c r="F72" s="30">
        <f>Source!AL39</f>
        <v>82.57</v>
      </c>
      <c r="G72" s="29">
        <f>Source!DD39</f>
      </c>
      <c r="H72" s="9">
        <f>Source!AW39</f>
        <v>1</v>
      </c>
      <c r="I72" s="9">
        <f>IF(Source!BC39&lt;&gt;0,Source!BC39,1)</f>
        <v>1</v>
      </c>
      <c r="J72" s="31">
        <f>Source!P39</f>
        <v>2.5</v>
      </c>
      <c r="K72" s="31"/>
    </row>
    <row r="73" spans="1:22" ht="57">
      <c r="A73" s="26" t="str">
        <f>Source!E40</f>
        <v>4,1</v>
      </c>
      <c r="B73" s="27" t="str">
        <f>Source!F40</f>
        <v>цена поставщика Том 1. п.15</v>
      </c>
      <c r="C73" s="27" t="s">
        <v>488</v>
      </c>
      <c r="D73" s="28" t="str">
        <f>Source!H40</f>
        <v>ШТ</v>
      </c>
      <c r="E73" s="9">
        <f>Source!I40</f>
        <v>0.9999999999999999</v>
      </c>
      <c r="F73" s="30">
        <f>Source!AK40</f>
        <v>3889.83</v>
      </c>
      <c r="G73" s="32" t="s">
        <v>3</v>
      </c>
      <c r="H73" s="9">
        <f>Source!AW40</f>
        <v>1</v>
      </c>
      <c r="I73" s="9">
        <f>IF(Source!BC40&lt;&gt;0,Source!BC40,1)</f>
        <v>1</v>
      </c>
      <c r="J73" s="31">
        <f>Source!O40</f>
        <v>3889.83</v>
      </c>
      <c r="K73" s="31"/>
      <c r="Q73">
        <f>ROUND((Source!BZ40/100)*ROUND((Source!AF40*Source!AV40)*Source!I40,2),2)</f>
        <v>0</v>
      </c>
      <c r="R73">
        <f>Source!X40</f>
        <v>0</v>
      </c>
      <c r="S73">
        <f>ROUND((Source!CA40/100)*ROUND((Source!AF40*Source!AV40)*Source!I40,2),2)</f>
        <v>0</v>
      </c>
      <c r="T73">
        <f>Source!Y40</f>
        <v>0</v>
      </c>
      <c r="U73">
        <f>ROUND((175/100)*ROUND((Source!AE40*Source!AV40)*Source!I40,2),2)</f>
        <v>0</v>
      </c>
      <c r="V73">
        <f>ROUND((108/100)*ROUND(Source!CS40*Source!I40,2),2)</f>
        <v>0</v>
      </c>
    </row>
    <row r="74" spans="1:11" ht="14.25">
      <c r="A74" s="26"/>
      <c r="B74" s="27"/>
      <c r="C74" s="27" t="s">
        <v>479</v>
      </c>
      <c r="D74" s="28" t="s">
        <v>480</v>
      </c>
      <c r="E74" s="9">
        <f>Source!AT39</f>
        <v>70</v>
      </c>
      <c r="F74" s="30"/>
      <c r="G74" s="29"/>
      <c r="H74" s="9"/>
      <c r="I74" s="9"/>
      <c r="J74" s="31">
        <f>SUM(R68:R73)</f>
        <v>430.39</v>
      </c>
      <c r="K74" s="31"/>
    </row>
    <row r="75" spans="1:11" ht="14.25">
      <c r="A75" s="26"/>
      <c r="B75" s="27"/>
      <c r="C75" s="27" t="s">
        <v>481</v>
      </c>
      <c r="D75" s="28" t="s">
        <v>480</v>
      </c>
      <c r="E75" s="9">
        <f>Source!AU39</f>
        <v>10</v>
      </c>
      <c r="F75" s="30"/>
      <c r="G75" s="29"/>
      <c r="H75" s="9"/>
      <c r="I75" s="9"/>
      <c r="J75" s="31">
        <f>SUM(T68:T74)</f>
        <v>61.48</v>
      </c>
      <c r="K75" s="31"/>
    </row>
    <row r="76" spans="1:11" ht="14.25">
      <c r="A76" s="26"/>
      <c r="B76" s="27"/>
      <c r="C76" s="27" t="s">
        <v>486</v>
      </c>
      <c r="D76" s="28" t="s">
        <v>480</v>
      </c>
      <c r="E76" s="9">
        <f>108</f>
        <v>108</v>
      </c>
      <c r="F76" s="30"/>
      <c r="G76" s="29"/>
      <c r="H76" s="9"/>
      <c r="I76" s="9"/>
      <c r="J76" s="31">
        <f>SUM(V68:V75)</f>
        <v>0.04</v>
      </c>
      <c r="K76" s="31"/>
    </row>
    <row r="77" spans="1:11" ht="14.25">
      <c r="A77" s="26"/>
      <c r="B77" s="27"/>
      <c r="C77" s="27" t="s">
        <v>482</v>
      </c>
      <c r="D77" s="28" t="s">
        <v>483</v>
      </c>
      <c r="E77" s="9">
        <f>Source!AQ39</f>
        <v>94.42</v>
      </c>
      <c r="F77" s="30"/>
      <c r="G77" s="29">
        <f>Source!DI39</f>
      </c>
      <c r="H77" s="9">
        <f>Source!AV39</f>
        <v>1</v>
      </c>
      <c r="I77" s="9"/>
      <c r="J77" s="31"/>
      <c r="K77" s="31">
        <f>Source!U39</f>
        <v>2.860926</v>
      </c>
    </row>
    <row r="78" spans="1:16" ht="15">
      <c r="A78" s="35"/>
      <c r="B78" s="35"/>
      <c r="C78" s="35"/>
      <c r="D78" s="35"/>
      <c r="E78" s="35"/>
      <c r="F78" s="35"/>
      <c r="G78" s="35"/>
      <c r="H78" s="35"/>
      <c r="I78" s="77">
        <f>J69+J70+J72+J74+J75+J76+SUM(J73:J73)</f>
        <v>4999.86</v>
      </c>
      <c r="J78" s="77"/>
      <c r="K78" s="36">
        <f>IF(Source!I39&lt;&gt;0,ROUND(I78/Source!I39,2),0)</f>
        <v>165011.88</v>
      </c>
      <c r="P78" s="33">
        <f>I78</f>
        <v>4999.86</v>
      </c>
    </row>
    <row r="79" spans="1:22" ht="85.5">
      <c r="A79" s="26" t="str">
        <f>Source!E41</f>
        <v>5</v>
      </c>
      <c r="B79" s="27" t="str">
        <f>Source!F41</f>
        <v>1.18-3103-1-2/1</v>
      </c>
      <c r="C79" s="27" t="str">
        <f>Source!G41</f>
        <v>Прокладка воздуховодов из черной, оцинкованной стали и алюминия толщиной 0,5 мм периметром до 600 мм (без стоимости дроссель-клапана, шибера, средств крепления, сетки, заглушки и воздуховода)</v>
      </c>
      <c r="D79" s="28" t="str">
        <f>Source!H41</f>
        <v>100 м2</v>
      </c>
      <c r="E79" s="9">
        <f>Source!I41</f>
        <v>0.209</v>
      </c>
      <c r="F79" s="30"/>
      <c r="G79" s="29"/>
      <c r="H79" s="9"/>
      <c r="I79" s="9"/>
      <c r="J79" s="31"/>
      <c r="K79" s="31"/>
      <c r="Q79">
        <f>ROUND((Source!BZ41/100)*ROUND((Source!AF41*Source!AV41)*Source!I41,2),2)</f>
        <v>4423.05</v>
      </c>
      <c r="R79">
        <f>Source!X41</f>
        <v>4423.05</v>
      </c>
      <c r="S79">
        <f>ROUND((Source!CA41/100)*ROUND((Source!AF41*Source!AV41)*Source!I41,2),2)</f>
        <v>631.86</v>
      </c>
      <c r="T79">
        <f>Source!Y41</f>
        <v>631.86</v>
      </c>
      <c r="U79">
        <f>ROUND((175/100)*ROUND((Source!AE41*Source!AV41)*Source!I41,2),2)</f>
        <v>6.27</v>
      </c>
      <c r="V79">
        <f>ROUND((108/100)*ROUND(Source!CS41*Source!I41,2),2)</f>
        <v>3.87</v>
      </c>
    </row>
    <row r="80" spans="1:11" ht="14.25">
      <c r="A80" s="26"/>
      <c r="B80" s="27"/>
      <c r="C80" s="27" t="s">
        <v>476</v>
      </c>
      <c r="D80" s="28"/>
      <c r="E80" s="9"/>
      <c r="F80" s="30">
        <f>Source!AO41</f>
        <v>30232.74</v>
      </c>
      <c r="G80" s="29">
        <f>Source!DG41</f>
      </c>
      <c r="H80" s="9">
        <f>Source!AV41</f>
        <v>1</v>
      </c>
      <c r="I80" s="9">
        <f>IF(Source!BA41&lt;&gt;0,Source!BA41,1)</f>
        <v>1</v>
      </c>
      <c r="J80" s="31">
        <f>Source!S41</f>
        <v>6318.64</v>
      </c>
      <c r="K80" s="31"/>
    </row>
    <row r="81" spans="1:11" ht="14.25">
      <c r="A81" s="26"/>
      <c r="B81" s="27"/>
      <c r="C81" s="27" t="s">
        <v>484</v>
      </c>
      <c r="D81" s="28"/>
      <c r="E81" s="9"/>
      <c r="F81" s="30">
        <f>Source!AM41</f>
        <v>74.93</v>
      </c>
      <c r="G81" s="29">
        <f>Source!DE41</f>
      </c>
      <c r="H81" s="9">
        <f>Source!AV41</f>
        <v>1</v>
      </c>
      <c r="I81" s="9">
        <f>IF(Source!BB41&lt;&gt;0,Source!BB41,1)</f>
        <v>1</v>
      </c>
      <c r="J81" s="31">
        <f>Source!Q41</f>
        <v>15.66</v>
      </c>
      <c r="K81" s="31"/>
    </row>
    <row r="82" spans="1:11" ht="14.25">
      <c r="A82" s="26"/>
      <c r="B82" s="27"/>
      <c r="C82" s="27" t="s">
        <v>485</v>
      </c>
      <c r="D82" s="28"/>
      <c r="E82" s="9"/>
      <c r="F82" s="30">
        <f>Source!AN41</f>
        <v>17.14</v>
      </c>
      <c r="G82" s="29">
        <f>Source!DF41</f>
      </c>
      <c r="H82" s="9">
        <f>Source!AV41</f>
        <v>1</v>
      </c>
      <c r="I82" s="9">
        <f>IF(Source!BS41&lt;&gt;0,Source!BS41,1)</f>
        <v>1</v>
      </c>
      <c r="J82" s="37">
        <f>Source!R41</f>
        <v>3.58</v>
      </c>
      <c r="K82" s="31"/>
    </row>
    <row r="83" spans="1:11" ht="14.25">
      <c r="A83" s="26"/>
      <c r="B83" s="27"/>
      <c r="C83" s="27" t="s">
        <v>477</v>
      </c>
      <c r="D83" s="28"/>
      <c r="E83" s="9"/>
      <c r="F83" s="30">
        <f>Source!AL41</f>
        <v>2709.67</v>
      </c>
      <c r="G83" s="29">
        <f>Source!DD41</f>
      </c>
      <c r="H83" s="9">
        <f>Source!AW41</f>
        <v>1</v>
      </c>
      <c r="I83" s="9">
        <f>IF(Source!BC41&lt;&gt;0,Source!BC41,1)</f>
        <v>1</v>
      </c>
      <c r="J83" s="31">
        <f>Source!P41</f>
        <v>566.32</v>
      </c>
      <c r="K83" s="31"/>
    </row>
    <row r="84" spans="1:22" ht="71.25">
      <c r="A84" s="26" t="str">
        <f>Source!E42</f>
        <v>5,1</v>
      </c>
      <c r="B84" s="27" t="str">
        <f>Source!F42</f>
        <v>21.19-10-7</v>
      </c>
      <c r="C84" s="27" t="str">
        <f>Source!G42</f>
        <v>Дроссель-клапаны для регулирования расхода воздуха, в обечайке, с сектором управления, из оцинкованной стали, прямоугольные, периметр 700 мм</v>
      </c>
      <c r="D84" s="28" t="str">
        <f>Source!H42</f>
        <v>шт.</v>
      </c>
      <c r="E84" s="9">
        <f>Source!I42</f>
        <v>12</v>
      </c>
      <c r="F84" s="30">
        <f>Source!AK42</f>
        <v>1136.98</v>
      </c>
      <c r="G84" s="32" t="s">
        <v>3</v>
      </c>
      <c r="H84" s="9">
        <f>Source!AW42</f>
        <v>1</v>
      </c>
      <c r="I84" s="9">
        <f>IF(Source!BC42&lt;&gt;0,Source!BC42,1)</f>
        <v>1</v>
      </c>
      <c r="J84" s="31">
        <f>Source!O42</f>
        <v>13643.76</v>
      </c>
      <c r="K84" s="31"/>
      <c r="Q84">
        <f>ROUND((Source!BZ42/100)*ROUND((Source!AF42*Source!AV42)*Source!I42,2),2)</f>
        <v>0</v>
      </c>
      <c r="R84">
        <f>Source!X42</f>
        <v>0</v>
      </c>
      <c r="S84">
        <f>ROUND((Source!CA42/100)*ROUND((Source!AF42*Source!AV42)*Source!I42,2),2)</f>
        <v>0</v>
      </c>
      <c r="T84">
        <f>Source!Y42</f>
        <v>0</v>
      </c>
      <c r="U84">
        <f>ROUND((175/100)*ROUND((Source!AE42*Source!AV42)*Source!I42,2),2)</f>
        <v>0</v>
      </c>
      <c r="V84">
        <f>ROUND((108/100)*ROUND(Source!CS42*Source!I42,2),2)</f>
        <v>0</v>
      </c>
    </row>
    <row r="85" spans="1:22" ht="42.75">
      <c r="A85" s="26" t="str">
        <f>Source!E43</f>
        <v>5,2</v>
      </c>
      <c r="B85" s="27" t="str">
        <f>Source!F43</f>
        <v>21.19-3-31</v>
      </c>
      <c r="C85" s="27" t="str">
        <f>Source!G43</f>
        <v>Воздуховоды прямоугольного сечения из черной стали, толщина стенки до 1,2 мм, периметр до 1000 мм</v>
      </c>
      <c r="D85" s="28" t="str">
        <f>Source!H43</f>
        <v>м2</v>
      </c>
      <c r="E85" s="9">
        <f>Source!I43</f>
        <v>20.9</v>
      </c>
      <c r="F85" s="30">
        <f>Source!AK43</f>
        <v>810.68</v>
      </c>
      <c r="G85" s="32" t="s">
        <v>3</v>
      </c>
      <c r="H85" s="9">
        <f>Source!AW43</f>
        <v>1</v>
      </c>
      <c r="I85" s="9">
        <f>IF(Source!BC43&lt;&gt;0,Source!BC43,1)</f>
        <v>1</v>
      </c>
      <c r="J85" s="31">
        <f>Source!O43</f>
        <v>16943.21</v>
      </c>
      <c r="K85" s="31"/>
      <c r="Q85">
        <f>ROUND((Source!BZ43/100)*ROUND((Source!AF43*Source!AV43)*Source!I43,2),2)</f>
        <v>0</v>
      </c>
      <c r="R85">
        <f>Source!X43</f>
        <v>0</v>
      </c>
      <c r="S85">
        <f>ROUND((Source!CA43/100)*ROUND((Source!AF43*Source!AV43)*Source!I43,2),2)</f>
        <v>0</v>
      </c>
      <c r="T85">
        <f>Source!Y43</f>
        <v>0</v>
      </c>
      <c r="U85">
        <f>ROUND((175/100)*ROUND((Source!AE43*Source!AV43)*Source!I43,2),2)</f>
        <v>0</v>
      </c>
      <c r="V85">
        <f>ROUND((108/100)*ROUND(Source!CS43*Source!I43,2),2)</f>
        <v>0</v>
      </c>
    </row>
    <row r="86" spans="1:22" ht="57">
      <c r="A86" s="26" t="str">
        <f>Source!E44</f>
        <v>5,3</v>
      </c>
      <c r="B86" s="27" t="str">
        <f>Source!F44</f>
        <v>цена поставщика Том1. п.16</v>
      </c>
      <c r="C86" s="27" t="s">
        <v>489</v>
      </c>
      <c r="D86" s="28" t="str">
        <f>Source!H44</f>
        <v>ШТ</v>
      </c>
      <c r="E86" s="9">
        <f>Source!I44</f>
        <v>1</v>
      </c>
      <c r="F86" s="30">
        <f>Source!AK44</f>
        <v>316.95</v>
      </c>
      <c r="G86" s="32" t="s">
        <v>3</v>
      </c>
      <c r="H86" s="9">
        <f>Source!AW44</f>
        <v>1</v>
      </c>
      <c r="I86" s="9">
        <f>IF(Source!BC44&lt;&gt;0,Source!BC44,1)</f>
        <v>1</v>
      </c>
      <c r="J86" s="31">
        <f>Source!O44</f>
        <v>316.95</v>
      </c>
      <c r="K86" s="31"/>
      <c r="Q86">
        <f>ROUND((Source!BZ44/100)*ROUND((Source!AF44*Source!AV44)*Source!I44,2),2)</f>
        <v>0</v>
      </c>
      <c r="R86">
        <f>Source!X44</f>
        <v>0</v>
      </c>
      <c r="S86">
        <f>ROUND((Source!CA44/100)*ROUND((Source!AF44*Source!AV44)*Source!I44,2),2)</f>
        <v>0</v>
      </c>
      <c r="T86">
        <f>Source!Y44</f>
        <v>0</v>
      </c>
      <c r="U86">
        <f>ROUND((175/100)*ROUND((Source!AE44*Source!AV44)*Source!I44,2),2)</f>
        <v>0</v>
      </c>
      <c r="V86">
        <f>ROUND((108/100)*ROUND(Source!CS44*Source!I44,2),2)</f>
        <v>0</v>
      </c>
    </row>
    <row r="87" spans="1:22" ht="57">
      <c r="A87" s="26" t="str">
        <f>Source!E45</f>
        <v>5,4</v>
      </c>
      <c r="B87" s="27" t="str">
        <f>Source!F45</f>
        <v>21.19-11-74</v>
      </c>
      <c r="C87" s="27" t="str">
        <f>Source!G45</f>
        <v>Сетки металлические в рамках для ограждения приточных и вытяжных отверстий из оцинкованной стали, площадь сетки в свету до 0,5 м2</v>
      </c>
      <c r="D87" s="28" t="str">
        <f>Source!H45</f>
        <v>м2</v>
      </c>
      <c r="E87" s="9">
        <f>Source!I45</f>
        <v>0.5</v>
      </c>
      <c r="F87" s="30">
        <f>Source!AK45</f>
        <v>377.87</v>
      </c>
      <c r="G87" s="32" t="s">
        <v>3</v>
      </c>
      <c r="H87" s="9">
        <f>Source!AW45</f>
        <v>1</v>
      </c>
      <c r="I87" s="9">
        <f>IF(Source!BC45&lt;&gt;0,Source!BC45,1)</f>
        <v>1</v>
      </c>
      <c r="J87" s="31">
        <f>Source!O45</f>
        <v>188.94</v>
      </c>
      <c r="K87" s="31"/>
      <c r="Q87">
        <f>ROUND((Source!BZ45/100)*ROUND((Source!AF45*Source!AV45)*Source!I45,2),2)</f>
        <v>0</v>
      </c>
      <c r="R87">
        <f>Source!X45</f>
        <v>0</v>
      </c>
      <c r="S87">
        <f>ROUND((Source!CA45/100)*ROUND((Source!AF45*Source!AV45)*Source!I45,2),2)</f>
        <v>0</v>
      </c>
      <c r="T87">
        <f>Source!Y45</f>
        <v>0</v>
      </c>
      <c r="U87">
        <f>ROUND((175/100)*ROUND((Source!AE45*Source!AV45)*Source!I45,2),2)</f>
        <v>0</v>
      </c>
      <c r="V87">
        <f>ROUND((108/100)*ROUND(Source!CS45*Source!I45,2),2)</f>
        <v>0</v>
      </c>
    </row>
    <row r="88" spans="1:22" ht="57">
      <c r="A88" s="26" t="str">
        <f>Source!E46</f>
        <v>5,5</v>
      </c>
      <c r="B88" s="27" t="str">
        <f>Source!F46</f>
        <v>21.19-11-72</v>
      </c>
      <c r="C88" s="27" t="str">
        <f>Source!G46</f>
        <v>Сетки металлические в рамках для ограждения приточных и вытяжных отверстий из оцинкованной стали, площадь сетки в свету до 0,2 м2</v>
      </c>
      <c r="D88" s="28" t="str">
        <f>Source!H46</f>
        <v>м2</v>
      </c>
      <c r="E88" s="9">
        <f>Source!I46</f>
        <v>0.015</v>
      </c>
      <c r="F88" s="30">
        <f>Source!AK46</f>
        <v>379.8</v>
      </c>
      <c r="G88" s="32" t="s">
        <v>3</v>
      </c>
      <c r="H88" s="9">
        <f>Source!AW46</f>
        <v>1</v>
      </c>
      <c r="I88" s="9">
        <f>IF(Source!BC46&lt;&gt;0,Source!BC46,1)</f>
        <v>1</v>
      </c>
      <c r="J88" s="31">
        <f>Source!O46</f>
        <v>5.7</v>
      </c>
      <c r="K88" s="31"/>
      <c r="Q88">
        <f>ROUND((Source!BZ46/100)*ROUND((Source!AF46*Source!AV46)*Source!I46,2),2)</f>
        <v>0</v>
      </c>
      <c r="R88">
        <f>Source!X46</f>
        <v>0</v>
      </c>
      <c r="S88">
        <f>ROUND((Source!CA46/100)*ROUND((Source!AF46*Source!AV46)*Source!I46,2),2)</f>
        <v>0</v>
      </c>
      <c r="T88">
        <f>Source!Y46</f>
        <v>0</v>
      </c>
      <c r="U88">
        <f>ROUND((175/100)*ROUND((Source!AE46*Source!AV46)*Source!I46,2),2)</f>
        <v>0</v>
      </c>
      <c r="V88">
        <f>ROUND((108/100)*ROUND(Source!CS46*Source!I46,2),2)</f>
        <v>0</v>
      </c>
    </row>
    <row r="89" spans="1:11" ht="14.25">
      <c r="A89" s="26"/>
      <c r="B89" s="27"/>
      <c r="C89" s="27" t="s">
        <v>479</v>
      </c>
      <c r="D89" s="28" t="s">
        <v>480</v>
      </c>
      <c r="E89" s="9">
        <f>Source!AT41</f>
        <v>70</v>
      </c>
      <c r="F89" s="30"/>
      <c r="G89" s="29"/>
      <c r="H89" s="9"/>
      <c r="I89" s="9"/>
      <c r="J89" s="31">
        <f>SUM(R79:R88)</f>
        <v>4423.05</v>
      </c>
      <c r="K89" s="31"/>
    </row>
    <row r="90" spans="1:11" ht="14.25">
      <c r="A90" s="26"/>
      <c r="B90" s="27"/>
      <c r="C90" s="27" t="s">
        <v>481</v>
      </c>
      <c r="D90" s="28" t="s">
        <v>480</v>
      </c>
      <c r="E90" s="9">
        <f>Source!AU41</f>
        <v>10</v>
      </c>
      <c r="F90" s="30"/>
      <c r="G90" s="29"/>
      <c r="H90" s="9"/>
      <c r="I90" s="9"/>
      <c r="J90" s="31">
        <f>SUM(T79:T89)</f>
        <v>631.86</v>
      </c>
      <c r="K90" s="31"/>
    </row>
    <row r="91" spans="1:11" ht="14.25">
      <c r="A91" s="26"/>
      <c r="B91" s="27"/>
      <c r="C91" s="27" t="s">
        <v>486</v>
      </c>
      <c r="D91" s="28" t="s">
        <v>480</v>
      </c>
      <c r="E91" s="9">
        <f>108</f>
        <v>108</v>
      </c>
      <c r="F91" s="30"/>
      <c r="G91" s="29"/>
      <c r="H91" s="9"/>
      <c r="I91" s="9"/>
      <c r="J91" s="31">
        <f>SUM(V79:V90)</f>
        <v>3.87</v>
      </c>
      <c r="K91" s="31"/>
    </row>
    <row r="92" spans="1:11" ht="14.25">
      <c r="A92" s="26"/>
      <c r="B92" s="27"/>
      <c r="C92" s="27" t="s">
        <v>482</v>
      </c>
      <c r="D92" s="28" t="s">
        <v>483</v>
      </c>
      <c r="E92" s="9">
        <f>Source!AQ41</f>
        <v>177.1</v>
      </c>
      <c r="F92" s="30"/>
      <c r="G92" s="29">
        <f>Source!DI41</f>
      </c>
      <c r="H92" s="9">
        <f>Source!AV41</f>
        <v>1</v>
      </c>
      <c r="I92" s="9"/>
      <c r="J92" s="31"/>
      <c r="K92" s="31">
        <f>Source!U41</f>
        <v>37.0139</v>
      </c>
    </row>
    <row r="93" spans="1:16" ht="15">
      <c r="A93" s="35"/>
      <c r="B93" s="35"/>
      <c r="C93" s="35"/>
      <c r="D93" s="35"/>
      <c r="E93" s="35"/>
      <c r="F93" s="35"/>
      <c r="G93" s="35"/>
      <c r="H93" s="35"/>
      <c r="I93" s="77">
        <f>J80+J81+J83+J89+J90+J91+SUM(J84:J88)</f>
        <v>43057.96000000001</v>
      </c>
      <c r="J93" s="77"/>
      <c r="K93" s="36">
        <f>IF(Source!I41&lt;&gt;0,ROUND(I93/Source!I41,2),0)</f>
        <v>206018.95</v>
      </c>
      <c r="P93" s="33">
        <f>I93</f>
        <v>43057.96000000001</v>
      </c>
    </row>
    <row r="94" spans="1:22" ht="85.5">
      <c r="A94" s="26" t="str">
        <f>Source!E47</f>
        <v>6</v>
      </c>
      <c r="B94" s="27" t="str">
        <f>Source!F47</f>
        <v>1.18-3103-1-3/1</v>
      </c>
      <c r="C94" s="27" t="str">
        <f>Source!G47</f>
        <v>Прокладка воздуховодов из черной, оцинкованной стали и алюминия толщиной 0,5 мм периметром до 1000 мм (без стоимости дроссель-клапана, шибера, средств крепления, сетки, заглушки и воздуховода)</v>
      </c>
      <c r="D94" s="28" t="str">
        <f>Source!H47</f>
        <v>100 м2</v>
      </c>
      <c r="E94" s="9">
        <f>Source!I47</f>
        <v>0.63</v>
      </c>
      <c r="F94" s="30"/>
      <c r="G94" s="29"/>
      <c r="H94" s="9"/>
      <c r="I94" s="9"/>
      <c r="J94" s="31"/>
      <c r="K94" s="31"/>
      <c r="Q94">
        <f>ROUND((Source!BZ47/100)*ROUND((Source!AF47*Source!AV47)*Source!I47,2),2)</f>
        <v>12207.16</v>
      </c>
      <c r="R94">
        <f>Source!X47</f>
        <v>12207.16</v>
      </c>
      <c r="S94">
        <f>ROUND((Source!CA47/100)*ROUND((Source!AF47*Source!AV47)*Source!I47,2),2)</f>
        <v>1743.88</v>
      </c>
      <c r="T94">
        <f>Source!Y47</f>
        <v>1743.88</v>
      </c>
      <c r="U94">
        <f>ROUND((175/100)*ROUND((Source!AE47*Source!AV47)*Source!I47,2),2)</f>
        <v>17.61</v>
      </c>
      <c r="V94">
        <f>ROUND((108/100)*ROUND(Source!CS47*Source!I47,2),2)</f>
        <v>10.86</v>
      </c>
    </row>
    <row r="95" spans="1:11" ht="14.25">
      <c r="A95" s="26"/>
      <c r="B95" s="27"/>
      <c r="C95" s="27" t="s">
        <v>476</v>
      </c>
      <c r="D95" s="28"/>
      <c r="E95" s="9"/>
      <c r="F95" s="30">
        <f>Source!AO47</f>
        <v>27680.63</v>
      </c>
      <c r="G95" s="29">
        <f>Source!DG47</f>
      </c>
      <c r="H95" s="9">
        <f>Source!AV47</f>
        <v>1</v>
      </c>
      <c r="I95" s="9">
        <f>IF(Source!BA47&lt;&gt;0,Source!BA47,1)</f>
        <v>1</v>
      </c>
      <c r="J95" s="31">
        <f>Source!S47</f>
        <v>17438.8</v>
      </c>
      <c r="K95" s="31"/>
    </row>
    <row r="96" spans="1:11" ht="14.25">
      <c r="A96" s="26"/>
      <c r="B96" s="27"/>
      <c r="C96" s="27" t="s">
        <v>484</v>
      </c>
      <c r="D96" s="28"/>
      <c r="E96" s="9"/>
      <c r="F96" s="30">
        <f>Source!AM47</f>
        <v>69.35</v>
      </c>
      <c r="G96" s="29">
        <f>Source!DE47</f>
      </c>
      <c r="H96" s="9">
        <f>Source!AV47</f>
        <v>1</v>
      </c>
      <c r="I96" s="9">
        <f>IF(Source!BB47&lt;&gt;0,Source!BB47,1)</f>
        <v>1</v>
      </c>
      <c r="J96" s="31">
        <f>Source!Q47</f>
        <v>43.69</v>
      </c>
      <c r="K96" s="31"/>
    </row>
    <row r="97" spans="1:11" ht="14.25">
      <c r="A97" s="26"/>
      <c r="B97" s="27"/>
      <c r="C97" s="27" t="s">
        <v>485</v>
      </c>
      <c r="D97" s="28"/>
      <c r="E97" s="9"/>
      <c r="F97" s="30">
        <f>Source!AN47</f>
        <v>15.97</v>
      </c>
      <c r="G97" s="29">
        <f>Source!DF47</f>
      </c>
      <c r="H97" s="9">
        <f>Source!AV47</f>
        <v>1</v>
      </c>
      <c r="I97" s="9">
        <f>IF(Source!BS47&lt;&gt;0,Source!BS47,1)</f>
        <v>1</v>
      </c>
      <c r="J97" s="37">
        <f>Source!R47</f>
        <v>10.06</v>
      </c>
      <c r="K97" s="31"/>
    </row>
    <row r="98" spans="1:11" ht="14.25">
      <c r="A98" s="26"/>
      <c r="B98" s="27"/>
      <c r="C98" s="27" t="s">
        <v>477</v>
      </c>
      <c r="D98" s="28"/>
      <c r="E98" s="9"/>
      <c r="F98" s="30">
        <f>Source!AL47</f>
        <v>2705.27</v>
      </c>
      <c r="G98" s="29">
        <f>Source!DD47</f>
      </c>
      <c r="H98" s="9">
        <f>Source!AW47</f>
        <v>1</v>
      </c>
      <c r="I98" s="9">
        <f>IF(Source!BC47&lt;&gt;0,Source!BC47,1)</f>
        <v>1</v>
      </c>
      <c r="J98" s="31">
        <f>Source!P47</f>
        <v>1704.32</v>
      </c>
      <c r="K98" s="31"/>
    </row>
    <row r="99" spans="1:22" ht="71.25">
      <c r="A99" s="26" t="str">
        <f>Source!E48</f>
        <v>6,1</v>
      </c>
      <c r="B99" s="27" t="str">
        <f>Source!F48</f>
        <v>21.19-10-8</v>
      </c>
      <c r="C99" s="27" t="str">
        <f>Source!G48</f>
        <v>Дроссель-клапаны для регулирования расхода воздуха, в обечайке, с сектором управления, из оцинкованной стали, прямоугольные, периметр 1000 мм</v>
      </c>
      <c r="D99" s="28" t="str">
        <f>Source!H48</f>
        <v>шт.</v>
      </c>
      <c r="E99" s="9">
        <f>Source!I48</f>
        <v>6</v>
      </c>
      <c r="F99" s="30">
        <f>Source!AK48</f>
        <v>1422.48</v>
      </c>
      <c r="G99" s="32" t="s">
        <v>3</v>
      </c>
      <c r="H99" s="9">
        <f>Source!AW48</f>
        <v>1</v>
      </c>
      <c r="I99" s="9">
        <f>IF(Source!BC48&lt;&gt;0,Source!BC48,1)</f>
        <v>1</v>
      </c>
      <c r="J99" s="31">
        <f>Source!O48</f>
        <v>8534.88</v>
      </c>
      <c r="K99" s="31"/>
      <c r="Q99">
        <f>ROUND((Source!BZ48/100)*ROUND((Source!AF48*Source!AV48)*Source!I48,2),2)</f>
        <v>0</v>
      </c>
      <c r="R99">
        <f>Source!X48</f>
        <v>0</v>
      </c>
      <c r="S99">
        <f>ROUND((Source!CA48/100)*ROUND((Source!AF48*Source!AV48)*Source!I48,2),2)</f>
        <v>0</v>
      </c>
      <c r="T99">
        <f>Source!Y48</f>
        <v>0</v>
      </c>
      <c r="U99">
        <f>ROUND((175/100)*ROUND((Source!AE48*Source!AV48)*Source!I48,2),2)</f>
        <v>0</v>
      </c>
      <c r="V99">
        <f>ROUND((108/100)*ROUND(Source!CS48*Source!I48,2),2)</f>
        <v>0</v>
      </c>
    </row>
    <row r="100" spans="1:22" ht="42.75">
      <c r="A100" s="26" t="str">
        <f>Source!E49</f>
        <v>6,2</v>
      </c>
      <c r="B100" s="27" t="str">
        <f>Source!F49</f>
        <v>21.19-3-19</v>
      </c>
      <c r="C100" s="27" t="str">
        <f>Source!G49</f>
        <v>Воздуховоды прямоугольного сечения из оцинкованной стали, толщина стенки до 1,2 мм, периметр до 4000 мм</v>
      </c>
      <c r="D100" s="28" t="str">
        <f>Source!H49</f>
        <v>м2</v>
      </c>
      <c r="E100" s="9">
        <f>Source!I49</f>
        <v>63</v>
      </c>
      <c r="F100" s="30">
        <f>Source!AK49</f>
        <v>788.47</v>
      </c>
      <c r="G100" s="32" t="s">
        <v>3</v>
      </c>
      <c r="H100" s="9">
        <f>Source!AW49</f>
        <v>1</v>
      </c>
      <c r="I100" s="9">
        <f>IF(Source!BC49&lt;&gt;0,Source!BC49,1)</f>
        <v>1</v>
      </c>
      <c r="J100" s="31">
        <f>Source!O49</f>
        <v>49673.61</v>
      </c>
      <c r="K100" s="31"/>
      <c r="Q100">
        <f>ROUND((Source!BZ49/100)*ROUND((Source!AF49*Source!AV49)*Source!I49,2),2)</f>
        <v>0</v>
      </c>
      <c r="R100">
        <f>Source!X49</f>
        <v>0</v>
      </c>
      <c r="S100">
        <f>ROUND((Source!CA49/100)*ROUND((Source!AF49*Source!AV49)*Source!I49,2),2)</f>
        <v>0</v>
      </c>
      <c r="T100">
        <f>Source!Y49</f>
        <v>0</v>
      </c>
      <c r="U100">
        <f>ROUND((175/100)*ROUND((Source!AE49*Source!AV49)*Source!I49,2),2)</f>
        <v>0</v>
      </c>
      <c r="V100">
        <f>ROUND((108/100)*ROUND(Source!CS49*Source!I49,2),2)</f>
        <v>0</v>
      </c>
    </row>
    <row r="101" spans="1:22" ht="57">
      <c r="A101" s="26" t="str">
        <f>Source!E50</f>
        <v>6,3</v>
      </c>
      <c r="B101" s="27" t="str">
        <f>Source!F50</f>
        <v>цена поставщика Том1. п.16</v>
      </c>
      <c r="C101" s="27" t="s">
        <v>489</v>
      </c>
      <c r="D101" s="28" t="str">
        <f>Source!H50</f>
        <v>ШТ</v>
      </c>
      <c r="E101" s="9">
        <f>Source!I50</f>
        <v>2</v>
      </c>
      <c r="F101" s="30">
        <f>Source!AK50</f>
        <v>316.95</v>
      </c>
      <c r="G101" s="32" t="s">
        <v>3</v>
      </c>
      <c r="H101" s="9">
        <f>Source!AW50</f>
        <v>1</v>
      </c>
      <c r="I101" s="9">
        <f>IF(Source!BC50&lt;&gt;0,Source!BC50,1)</f>
        <v>1</v>
      </c>
      <c r="J101" s="31">
        <f>Source!O50</f>
        <v>633.9</v>
      </c>
      <c r="K101" s="31"/>
      <c r="Q101">
        <f>ROUND((Source!BZ50/100)*ROUND((Source!AF50*Source!AV50)*Source!I50,2),2)</f>
        <v>0</v>
      </c>
      <c r="R101">
        <f>Source!X50</f>
        <v>0</v>
      </c>
      <c r="S101">
        <f>ROUND((Source!CA50/100)*ROUND((Source!AF50*Source!AV50)*Source!I50,2),2)</f>
        <v>0</v>
      </c>
      <c r="T101">
        <f>Source!Y50</f>
        <v>0</v>
      </c>
      <c r="U101">
        <f>ROUND((175/100)*ROUND((Source!AE50*Source!AV50)*Source!I50,2),2)</f>
        <v>0</v>
      </c>
      <c r="V101">
        <f>ROUND((108/100)*ROUND(Source!CS50*Source!I50,2),2)</f>
        <v>0</v>
      </c>
    </row>
    <row r="102" spans="1:11" ht="14.25">
      <c r="A102" s="26"/>
      <c r="B102" s="27"/>
      <c r="C102" s="27" t="s">
        <v>479</v>
      </c>
      <c r="D102" s="28" t="s">
        <v>480</v>
      </c>
      <c r="E102" s="9">
        <f>Source!AT47</f>
        <v>70</v>
      </c>
      <c r="F102" s="30"/>
      <c r="G102" s="29"/>
      <c r="H102" s="9"/>
      <c r="I102" s="9"/>
      <c r="J102" s="31">
        <f>SUM(R94:R101)</f>
        <v>12207.16</v>
      </c>
      <c r="K102" s="31"/>
    </row>
    <row r="103" spans="1:11" ht="14.25">
      <c r="A103" s="26"/>
      <c r="B103" s="27"/>
      <c r="C103" s="27" t="s">
        <v>481</v>
      </c>
      <c r="D103" s="28" t="s">
        <v>480</v>
      </c>
      <c r="E103" s="9">
        <f>Source!AU47</f>
        <v>10</v>
      </c>
      <c r="F103" s="30"/>
      <c r="G103" s="29"/>
      <c r="H103" s="9"/>
      <c r="I103" s="9"/>
      <c r="J103" s="31">
        <f>SUM(T94:T102)</f>
        <v>1743.88</v>
      </c>
      <c r="K103" s="31"/>
    </row>
    <row r="104" spans="1:11" ht="14.25">
      <c r="A104" s="26"/>
      <c r="B104" s="27"/>
      <c r="C104" s="27" t="s">
        <v>486</v>
      </c>
      <c r="D104" s="28" t="s">
        <v>480</v>
      </c>
      <c r="E104" s="9">
        <f>108</f>
        <v>108</v>
      </c>
      <c r="F104" s="30"/>
      <c r="G104" s="29"/>
      <c r="H104" s="9"/>
      <c r="I104" s="9"/>
      <c r="J104" s="31">
        <f>SUM(V94:V103)</f>
        <v>10.86</v>
      </c>
      <c r="K104" s="31"/>
    </row>
    <row r="105" spans="1:11" ht="14.25">
      <c r="A105" s="26"/>
      <c r="B105" s="27"/>
      <c r="C105" s="27" t="s">
        <v>482</v>
      </c>
      <c r="D105" s="28" t="s">
        <v>483</v>
      </c>
      <c r="E105" s="9">
        <f>Source!AQ47</f>
        <v>162.15</v>
      </c>
      <c r="F105" s="30"/>
      <c r="G105" s="29">
        <f>Source!DI47</f>
      </c>
      <c r="H105" s="9">
        <f>Source!AV47</f>
        <v>1</v>
      </c>
      <c r="I105" s="9"/>
      <c r="J105" s="31"/>
      <c r="K105" s="31">
        <f>Source!U47</f>
        <v>102.1545</v>
      </c>
    </row>
    <row r="106" spans="1:16" ht="15">
      <c r="A106" s="35"/>
      <c r="B106" s="35"/>
      <c r="C106" s="35"/>
      <c r="D106" s="35"/>
      <c r="E106" s="35"/>
      <c r="F106" s="35"/>
      <c r="G106" s="35"/>
      <c r="H106" s="35"/>
      <c r="I106" s="77">
        <f>J95+J96+J98+J102+J103+J104+SUM(J99:J101)</f>
        <v>91991.1</v>
      </c>
      <c r="J106" s="77"/>
      <c r="K106" s="36">
        <f>IF(Source!I47&lt;&gt;0,ROUND(I106/Source!I47,2),0)</f>
        <v>146017.62</v>
      </c>
      <c r="P106" s="33">
        <f>I106</f>
        <v>91991.1</v>
      </c>
    </row>
    <row r="107" spans="1:22" ht="99.75">
      <c r="A107" s="26" t="str">
        <f>Source!E51</f>
        <v>7</v>
      </c>
      <c r="B107" s="27" t="str">
        <f>Source!F51</f>
        <v>1.18-3103-1-27/1</v>
      </c>
      <c r="C107" s="27" t="str">
        <f>Source!G51</f>
        <v>Прокладка воздуховодов прямоугольных из черной, оцинкованной стали и алюминия, толщина стали от 1 до 2 мм, периметр до 1800 мм (без стоимости дроссель-клапана, шибера, средств крепления, сетки, заглушки и воздуховода)</v>
      </c>
      <c r="D107" s="28" t="str">
        <f>Source!H51</f>
        <v>100 м2</v>
      </c>
      <c r="E107" s="9">
        <f>Source!I51</f>
        <v>0.174</v>
      </c>
      <c r="F107" s="30"/>
      <c r="G107" s="29"/>
      <c r="H107" s="9"/>
      <c r="I107" s="9"/>
      <c r="J107" s="31"/>
      <c r="K107" s="31"/>
      <c r="Q107">
        <f>ROUND((Source!BZ51/100)*ROUND((Source!AF51*Source!AV51)*Source!I51,2),2)</f>
        <v>3154.85</v>
      </c>
      <c r="R107">
        <f>Source!X51</f>
        <v>3154.85</v>
      </c>
      <c r="S107">
        <f>ROUND((Source!CA51/100)*ROUND((Source!AF51*Source!AV51)*Source!I51,2),2)</f>
        <v>450.69</v>
      </c>
      <c r="T107">
        <f>Source!Y51</f>
        <v>450.69</v>
      </c>
      <c r="U107">
        <f>ROUND((175/100)*ROUND((Source!AE51*Source!AV51)*Source!I51,2),2)</f>
        <v>3.55</v>
      </c>
      <c r="V107">
        <f>ROUND((108/100)*ROUND(Source!CS51*Source!I51,2),2)</f>
        <v>2.19</v>
      </c>
    </row>
    <row r="108" spans="1:11" ht="14.25">
      <c r="A108" s="26"/>
      <c r="B108" s="27"/>
      <c r="C108" s="27" t="s">
        <v>476</v>
      </c>
      <c r="D108" s="28"/>
      <c r="E108" s="9"/>
      <c r="F108" s="30">
        <f>Source!AO51</f>
        <v>25901.91</v>
      </c>
      <c r="G108" s="29">
        <f>Source!DG51</f>
      </c>
      <c r="H108" s="9">
        <f>Source!AV51</f>
        <v>1</v>
      </c>
      <c r="I108" s="9">
        <f>IF(Source!BA51&lt;&gt;0,Source!BA51,1)</f>
        <v>1</v>
      </c>
      <c r="J108" s="31">
        <f>Source!S51</f>
        <v>4506.93</v>
      </c>
      <c r="K108" s="31"/>
    </row>
    <row r="109" spans="1:11" ht="14.25">
      <c r="A109" s="26"/>
      <c r="B109" s="27"/>
      <c r="C109" s="27" t="s">
        <v>484</v>
      </c>
      <c r="D109" s="28"/>
      <c r="E109" s="9"/>
      <c r="F109" s="30">
        <f>Source!AM51</f>
        <v>52.23</v>
      </c>
      <c r="G109" s="29">
        <f>Source!DE51</f>
      </c>
      <c r="H109" s="9">
        <f>Source!AV51</f>
        <v>1</v>
      </c>
      <c r="I109" s="9">
        <f>IF(Source!BB51&lt;&gt;0,Source!BB51,1)</f>
        <v>1</v>
      </c>
      <c r="J109" s="31">
        <f>Source!Q51</f>
        <v>9.09</v>
      </c>
      <c r="K109" s="31"/>
    </row>
    <row r="110" spans="1:11" ht="14.25">
      <c r="A110" s="26"/>
      <c r="B110" s="27"/>
      <c r="C110" s="27" t="s">
        <v>485</v>
      </c>
      <c r="D110" s="28"/>
      <c r="E110" s="9"/>
      <c r="F110" s="30">
        <f>Source!AN51</f>
        <v>11.65</v>
      </c>
      <c r="G110" s="29">
        <f>Source!DF51</f>
      </c>
      <c r="H110" s="9">
        <f>Source!AV51</f>
        <v>1</v>
      </c>
      <c r="I110" s="9">
        <f>IF(Source!BS51&lt;&gt;0,Source!BS51,1)</f>
        <v>1</v>
      </c>
      <c r="J110" s="37">
        <f>Source!R51</f>
        <v>2.03</v>
      </c>
      <c r="K110" s="31"/>
    </row>
    <row r="111" spans="1:11" ht="14.25">
      <c r="A111" s="26"/>
      <c r="B111" s="27"/>
      <c r="C111" s="27" t="s">
        <v>477</v>
      </c>
      <c r="D111" s="28"/>
      <c r="E111" s="9"/>
      <c r="F111" s="30">
        <f>Source!AL51</f>
        <v>2364.22</v>
      </c>
      <c r="G111" s="29">
        <f>Source!DD51</f>
      </c>
      <c r="H111" s="9">
        <f>Source!AW51</f>
        <v>1</v>
      </c>
      <c r="I111" s="9">
        <f>IF(Source!BC51&lt;&gt;0,Source!BC51,1)</f>
        <v>1</v>
      </c>
      <c r="J111" s="31">
        <f>Source!P51</f>
        <v>411.37</v>
      </c>
      <c r="K111" s="31"/>
    </row>
    <row r="112" spans="1:22" ht="71.25">
      <c r="A112" s="26" t="str">
        <f>Source!E52</f>
        <v>7,1</v>
      </c>
      <c r="B112" s="27" t="str">
        <f>Source!F52</f>
        <v>21.19-10-11</v>
      </c>
      <c r="C112" s="27" t="str">
        <f>Source!G52</f>
        <v>Дроссель-клапаны для регулирования расхода воздуха, в обечайке, с сектором управления, из оцинкованной стали, прямоугольные, периметр 2000 мм</v>
      </c>
      <c r="D112" s="28" t="str">
        <f>Source!H52</f>
        <v>шт.</v>
      </c>
      <c r="E112" s="9">
        <f>Source!I52</f>
        <v>2</v>
      </c>
      <c r="F112" s="30">
        <f>Source!AK52</f>
        <v>3423.7</v>
      </c>
      <c r="G112" s="32" t="s">
        <v>3</v>
      </c>
      <c r="H112" s="9">
        <f>Source!AW52</f>
        <v>1</v>
      </c>
      <c r="I112" s="9">
        <f>IF(Source!BC52&lt;&gt;0,Source!BC52,1)</f>
        <v>1</v>
      </c>
      <c r="J112" s="31">
        <f>Source!O52</f>
        <v>6847.4</v>
      </c>
      <c r="K112" s="31"/>
      <c r="Q112">
        <f>ROUND((Source!BZ52/100)*ROUND((Source!AF52*Source!AV52)*Source!I52,2),2)</f>
        <v>0</v>
      </c>
      <c r="R112">
        <f>Source!X52</f>
        <v>0</v>
      </c>
      <c r="S112">
        <f>ROUND((Source!CA52/100)*ROUND((Source!AF52*Source!AV52)*Source!I52,2),2)</f>
        <v>0</v>
      </c>
      <c r="T112">
        <f>Source!Y52</f>
        <v>0</v>
      </c>
      <c r="U112">
        <f>ROUND((175/100)*ROUND((Source!AE52*Source!AV52)*Source!I52,2),2)</f>
        <v>0</v>
      </c>
      <c r="V112">
        <f>ROUND((108/100)*ROUND(Source!CS52*Source!I52,2),2)</f>
        <v>0</v>
      </c>
    </row>
    <row r="113" spans="1:22" ht="42.75">
      <c r="A113" s="26" t="str">
        <f>Source!E53</f>
        <v>7,2</v>
      </c>
      <c r="B113" s="27" t="str">
        <f>Source!F53</f>
        <v>21.19-3-19</v>
      </c>
      <c r="C113" s="27" t="str">
        <f>Source!G53</f>
        <v>Воздуховоды прямоугольного сечения из оцинкованной стали, толщина стенки до 1,2 мм, периметр до 4000 мм</v>
      </c>
      <c r="D113" s="28" t="str">
        <f>Source!H53</f>
        <v>м2</v>
      </c>
      <c r="E113" s="9">
        <f>Source!I53</f>
        <v>17.4</v>
      </c>
      <c r="F113" s="30">
        <f>Source!AK53</f>
        <v>788.47</v>
      </c>
      <c r="G113" s="32" t="s">
        <v>3</v>
      </c>
      <c r="H113" s="9">
        <f>Source!AW53</f>
        <v>1</v>
      </c>
      <c r="I113" s="9">
        <f>IF(Source!BC53&lt;&gt;0,Source!BC53,1)</f>
        <v>1</v>
      </c>
      <c r="J113" s="31">
        <f>Source!O53</f>
        <v>13719.38</v>
      </c>
      <c r="K113" s="31"/>
      <c r="Q113">
        <f>ROUND((Source!BZ53/100)*ROUND((Source!AF53*Source!AV53)*Source!I53,2),2)</f>
        <v>0</v>
      </c>
      <c r="R113">
        <f>Source!X53</f>
        <v>0</v>
      </c>
      <c r="S113">
        <f>ROUND((Source!CA53/100)*ROUND((Source!AF53*Source!AV53)*Source!I53,2),2)</f>
        <v>0</v>
      </c>
      <c r="T113">
        <f>Source!Y53</f>
        <v>0</v>
      </c>
      <c r="U113">
        <f>ROUND((175/100)*ROUND((Source!AE53*Source!AV53)*Source!I53,2),2)</f>
        <v>0</v>
      </c>
      <c r="V113">
        <f>ROUND((108/100)*ROUND(Source!CS53*Source!I53,2),2)</f>
        <v>0</v>
      </c>
    </row>
    <row r="114" spans="1:22" ht="57">
      <c r="A114" s="26" t="str">
        <f>Source!E54</f>
        <v>7,3</v>
      </c>
      <c r="B114" s="27" t="str">
        <f>Source!F54</f>
        <v>цена поставщика Том1. п.16</v>
      </c>
      <c r="C114" s="27" t="s">
        <v>489</v>
      </c>
      <c r="D114" s="28" t="str">
        <f>Source!H54</f>
        <v>ШТ</v>
      </c>
      <c r="E114" s="9">
        <f>Source!I54</f>
        <v>1</v>
      </c>
      <c r="F114" s="30">
        <f>Source!AK54</f>
        <v>316.95</v>
      </c>
      <c r="G114" s="32" t="s">
        <v>3</v>
      </c>
      <c r="H114" s="9">
        <f>Source!AW54</f>
        <v>1</v>
      </c>
      <c r="I114" s="9">
        <f>IF(Source!BC54&lt;&gt;0,Source!BC54,1)</f>
        <v>1</v>
      </c>
      <c r="J114" s="31">
        <f>Source!O54</f>
        <v>316.95</v>
      </c>
      <c r="K114" s="31"/>
      <c r="Q114">
        <f>ROUND((Source!BZ54/100)*ROUND((Source!AF54*Source!AV54)*Source!I54,2),2)</f>
        <v>0</v>
      </c>
      <c r="R114">
        <f>Source!X54</f>
        <v>0</v>
      </c>
      <c r="S114">
        <f>ROUND((Source!CA54/100)*ROUND((Source!AF54*Source!AV54)*Source!I54,2),2)</f>
        <v>0</v>
      </c>
      <c r="T114">
        <f>Source!Y54</f>
        <v>0</v>
      </c>
      <c r="U114">
        <f>ROUND((175/100)*ROUND((Source!AE54*Source!AV54)*Source!I54,2),2)</f>
        <v>0</v>
      </c>
      <c r="V114">
        <f>ROUND((108/100)*ROUND(Source!CS54*Source!I54,2),2)</f>
        <v>0</v>
      </c>
    </row>
    <row r="115" spans="1:11" ht="14.25">
      <c r="A115" s="26"/>
      <c r="B115" s="27"/>
      <c r="C115" s="27" t="s">
        <v>479</v>
      </c>
      <c r="D115" s="28" t="s">
        <v>480</v>
      </c>
      <c r="E115" s="9">
        <f>Source!AT51</f>
        <v>70</v>
      </c>
      <c r="F115" s="30"/>
      <c r="G115" s="29"/>
      <c r="H115" s="9"/>
      <c r="I115" s="9"/>
      <c r="J115" s="31">
        <f>SUM(R107:R114)</f>
        <v>3154.85</v>
      </c>
      <c r="K115" s="31"/>
    </row>
    <row r="116" spans="1:11" ht="14.25">
      <c r="A116" s="26"/>
      <c r="B116" s="27"/>
      <c r="C116" s="27" t="s">
        <v>481</v>
      </c>
      <c r="D116" s="28" t="s">
        <v>480</v>
      </c>
      <c r="E116" s="9">
        <f>Source!AU51</f>
        <v>10</v>
      </c>
      <c r="F116" s="30"/>
      <c r="G116" s="29"/>
      <c r="H116" s="9"/>
      <c r="I116" s="9"/>
      <c r="J116" s="31">
        <f>SUM(T107:T115)</f>
        <v>450.69</v>
      </c>
      <c r="K116" s="31"/>
    </row>
    <row r="117" spans="1:11" ht="14.25">
      <c r="A117" s="26"/>
      <c r="B117" s="27"/>
      <c r="C117" s="27" t="s">
        <v>486</v>
      </c>
      <c r="D117" s="28" t="s">
        <v>480</v>
      </c>
      <c r="E117" s="9">
        <f>108</f>
        <v>108</v>
      </c>
      <c r="F117" s="30"/>
      <c r="G117" s="29"/>
      <c r="H117" s="9"/>
      <c r="I117" s="9"/>
      <c r="J117" s="31">
        <f>SUM(V107:V116)</f>
        <v>2.19</v>
      </c>
      <c r="K117" s="31"/>
    </row>
    <row r="118" spans="1:11" ht="14.25">
      <c r="A118" s="26"/>
      <c r="B118" s="27"/>
      <c r="C118" s="27" t="s">
        <v>482</v>
      </c>
      <c r="D118" s="28" t="s">
        <v>483</v>
      </c>
      <c r="E118" s="9">
        <f>Source!AQ51</f>
        <v>148.35</v>
      </c>
      <c r="F118" s="30"/>
      <c r="G118" s="29">
        <f>Source!DI51</f>
      </c>
      <c r="H118" s="9">
        <f>Source!AV51</f>
        <v>1</v>
      </c>
      <c r="I118" s="9"/>
      <c r="J118" s="31"/>
      <c r="K118" s="31">
        <f>Source!U51</f>
        <v>25.812899999999996</v>
      </c>
    </row>
    <row r="119" spans="1:16" ht="15">
      <c r="A119" s="35"/>
      <c r="B119" s="35"/>
      <c r="C119" s="35"/>
      <c r="D119" s="35"/>
      <c r="E119" s="35"/>
      <c r="F119" s="35"/>
      <c r="G119" s="35"/>
      <c r="H119" s="35"/>
      <c r="I119" s="77">
        <f>J108+J109+J111+J115+J116+J117+SUM(J112:J114)</f>
        <v>29418.85</v>
      </c>
      <c r="J119" s="77"/>
      <c r="K119" s="36">
        <f>IF(Source!I51&lt;&gt;0,ROUND(I119/Source!I51,2),0)</f>
        <v>169073.85</v>
      </c>
      <c r="P119" s="33">
        <f>I119</f>
        <v>29418.85</v>
      </c>
    </row>
    <row r="120" spans="1:22" ht="99.75">
      <c r="A120" s="26" t="str">
        <f>Source!E55</f>
        <v>8</v>
      </c>
      <c r="B120" s="27" t="str">
        <f>Source!F55</f>
        <v>1.18-3103-1-28/1</v>
      </c>
      <c r="C120" s="27" t="str">
        <f>Source!G55</f>
        <v>Прокладка воздуховодов прямоугольных из черной, оцинкованной стали и алюминия, толщина стали от 1 до 2 мм, периметр до 2000 мм (без стоимости дроссель-клапана, шибера, средств крепления, сетки, заглушки и воздуховода)</v>
      </c>
      <c r="D120" s="28" t="str">
        <f>Source!H55</f>
        <v>100 м2</v>
      </c>
      <c r="E120" s="9">
        <f>Source!I55</f>
        <v>0.48</v>
      </c>
      <c r="F120" s="30"/>
      <c r="G120" s="29"/>
      <c r="H120" s="9"/>
      <c r="I120" s="9"/>
      <c r="J120" s="31"/>
      <c r="K120" s="31"/>
      <c r="Q120">
        <f>ROUND((Source!BZ55/100)*ROUND((Source!AF55*Source!AV55)*Source!I55,2),2)</f>
        <v>7421.2</v>
      </c>
      <c r="R120">
        <f>Source!X55</f>
        <v>7421.2</v>
      </c>
      <c r="S120">
        <f>ROUND((Source!CA55/100)*ROUND((Source!AF55*Source!AV55)*Source!I55,2),2)</f>
        <v>1060.17</v>
      </c>
      <c r="T120">
        <f>Source!Y55</f>
        <v>1060.17</v>
      </c>
      <c r="U120">
        <f>ROUND((175/100)*ROUND((Source!AE55*Source!AV55)*Source!I55,2),2)</f>
        <v>9.78</v>
      </c>
      <c r="V120">
        <f>ROUND((108/100)*ROUND(Source!CS55*Source!I55,2),2)</f>
        <v>6.04</v>
      </c>
    </row>
    <row r="121" spans="1:11" ht="14.25">
      <c r="A121" s="26"/>
      <c r="B121" s="27"/>
      <c r="C121" s="27" t="s">
        <v>476</v>
      </c>
      <c r="D121" s="28"/>
      <c r="E121" s="9"/>
      <c r="F121" s="30">
        <f>Source!AO55</f>
        <v>22086.9</v>
      </c>
      <c r="G121" s="29">
        <f>Source!DG55</f>
      </c>
      <c r="H121" s="9">
        <f>Source!AV55</f>
        <v>1</v>
      </c>
      <c r="I121" s="9">
        <f>IF(Source!BA55&lt;&gt;0,Source!BA55,1)</f>
        <v>1</v>
      </c>
      <c r="J121" s="31">
        <f>Source!S55</f>
        <v>10601.71</v>
      </c>
      <c r="K121" s="31"/>
    </row>
    <row r="122" spans="1:11" ht="14.25">
      <c r="A122" s="26"/>
      <c r="B122" s="27"/>
      <c r="C122" s="27" t="s">
        <v>484</v>
      </c>
      <c r="D122" s="28"/>
      <c r="E122" s="9"/>
      <c r="F122" s="30">
        <f>Source!AM55</f>
        <v>52.23</v>
      </c>
      <c r="G122" s="29">
        <f>Source!DE55</f>
      </c>
      <c r="H122" s="9">
        <f>Source!AV55</f>
        <v>1</v>
      </c>
      <c r="I122" s="9">
        <f>IF(Source!BB55&lt;&gt;0,Source!BB55,1)</f>
        <v>1</v>
      </c>
      <c r="J122" s="31">
        <f>Source!Q55</f>
        <v>25.07</v>
      </c>
      <c r="K122" s="31"/>
    </row>
    <row r="123" spans="1:11" ht="14.25">
      <c r="A123" s="26"/>
      <c r="B123" s="27"/>
      <c r="C123" s="27" t="s">
        <v>485</v>
      </c>
      <c r="D123" s="28"/>
      <c r="E123" s="9"/>
      <c r="F123" s="30">
        <f>Source!AN55</f>
        <v>11.65</v>
      </c>
      <c r="G123" s="29">
        <f>Source!DF55</f>
      </c>
      <c r="H123" s="9">
        <f>Source!AV55</f>
        <v>1</v>
      </c>
      <c r="I123" s="9">
        <f>IF(Source!BS55&lt;&gt;0,Source!BS55,1)</f>
        <v>1</v>
      </c>
      <c r="J123" s="37">
        <f>Source!R55</f>
        <v>5.59</v>
      </c>
      <c r="K123" s="31"/>
    </row>
    <row r="124" spans="1:11" ht="14.25">
      <c r="A124" s="26"/>
      <c r="B124" s="27"/>
      <c r="C124" s="27" t="s">
        <v>477</v>
      </c>
      <c r="D124" s="28"/>
      <c r="E124" s="9"/>
      <c r="F124" s="30">
        <f>Source!AL55</f>
        <v>2364.22</v>
      </c>
      <c r="G124" s="29">
        <f>Source!DD55</f>
      </c>
      <c r="H124" s="9">
        <f>Source!AW55</f>
        <v>1</v>
      </c>
      <c r="I124" s="9">
        <f>IF(Source!BC55&lt;&gt;0,Source!BC55,1)</f>
        <v>1</v>
      </c>
      <c r="J124" s="31">
        <f>Source!P55</f>
        <v>1134.83</v>
      </c>
      <c r="K124" s="31"/>
    </row>
    <row r="125" spans="1:22" ht="71.25">
      <c r="A125" s="26" t="str">
        <f>Source!E56</f>
        <v>8,1</v>
      </c>
      <c r="B125" s="27" t="str">
        <f>Source!F56</f>
        <v>21.19-10-11</v>
      </c>
      <c r="C125" s="27" t="str">
        <f>Source!G56</f>
        <v>Дроссель-клапаны для регулирования расхода воздуха, в обечайке, с сектором управления, из оцинкованной стали, прямоугольные, периметр 2000 мм</v>
      </c>
      <c r="D125" s="28" t="str">
        <f>Source!H56</f>
        <v>шт.</v>
      </c>
      <c r="E125" s="9">
        <f>Source!I56</f>
        <v>1</v>
      </c>
      <c r="F125" s="30">
        <f>Source!AK56</f>
        <v>3423.7</v>
      </c>
      <c r="G125" s="32" t="s">
        <v>3</v>
      </c>
      <c r="H125" s="9">
        <f>Source!AW56</f>
        <v>1</v>
      </c>
      <c r="I125" s="9">
        <f>IF(Source!BC56&lt;&gt;0,Source!BC56,1)</f>
        <v>1</v>
      </c>
      <c r="J125" s="31">
        <f>Source!O56</f>
        <v>3423.7</v>
      </c>
      <c r="K125" s="31"/>
      <c r="Q125">
        <f>ROUND((Source!BZ56/100)*ROUND((Source!AF56*Source!AV56)*Source!I56,2),2)</f>
        <v>0</v>
      </c>
      <c r="R125">
        <f>Source!X56</f>
        <v>0</v>
      </c>
      <c r="S125">
        <f>ROUND((Source!CA56/100)*ROUND((Source!AF56*Source!AV56)*Source!I56,2),2)</f>
        <v>0</v>
      </c>
      <c r="T125">
        <f>Source!Y56</f>
        <v>0</v>
      </c>
      <c r="U125">
        <f>ROUND((175/100)*ROUND((Source!AE56*Source!AV56)*Source!I56,2),2)</f>
        <v>0</v>
      </c>
      <c r="V125">
        <f>ROUND((108/100)*ROUND(Source!CS56*Source!I56,2),2)</f>
        <v>0</v>
      </c>
    </row>
    <row r="126" spans="1:22" ht="42.75">
      <c r="A126" s="26" t="str">
        <f>Source!E57</f>
        <v>8,2</v>
      </c>
      <c r="B126" s="27" t="str">
        <f>Source!F57</f>
        <v>21.19-3-19</v>
      </c>
      <c r="C126" s="27" t="str">
        <f>Source!G57</f>
        <v>Воздуховоды прямоугольного сечения из оцинкованной стали, толщина стенки до 1,2 мм, периметр до 4000 мм</v>
      </c>
      <c r="D126" s="28" t="str">
        <f>Source!H57</f>
        <v>м2</v>
      </c>
      <c r="E126" s="9">
        <f>Source!I57</f>
        <v>48</v>
      </c>
      <c r="F126" s="30">
        <f>Source!AK57</f>
        <v>788.47</v>
      </c>
      <c r="G126" s="32" t="s">
        <v>3</v>
      </c>
      <c r="H126" s="9">
        <f>Source!AW57</f>
        <v>1</v>
      </c>
      <c r="I126" s="9">
        <f>IF(Source!BC57&lt;&gt;0,Source!BC57,1)</f>
        <v>1</v>
      </c>
      <c r="J126" s="31">
        <f>Source!O57</f>
        <v>37846.56</v>
      </c>
      <c r="K126" s="31"/>
      <c r="Q126">
        <f>ROUND((Source!BZ57/100)*ROUND((Source!AF57*Source!AV57)*Source!I57,2),2)</f>
        <v>0</v>
      </c>
      <c r="R126">
        <f>Source!X57</f>
        <v>0</v>
      </c>
      <c r="S126">
        <f>ROUND((Source!CA57/100)*ROUND((Source!AF57*Source!AV57)*Source!I57,2),2)</f>
        <v>0</v>
      </c>
      <c r="T126">
        <f>Source!Y57</f>
        <v>0</v>
      </c>
      <c r="U126">
        <f>ROUND((175/100)*ROUND((Source!AE57*Source!AV57)*Source!I57,2),2)</f>
        <v>0</v>
      </c>
      <c r="V126">
        <f>ROUND((108/100)*ROUND(Source!CS57*Source!I57,2),2)</f>
        <v>0</v>
      </c>
    </row>
    <row r="127" spans="1:22" ht="57">
      <c r="A127" s="26" t="str">
        <f>Source!E58</f>
        <v>8,3</v>
      </c>
      <c r="B127" s="27" t="str">
        <f>Source!F58</f>
        <v>цена поставщика Том1. п.16</v>
      </c>
      <c r="C127" s="27" t="s">
        <v>489</v>
      </c>
      <c r="D127" s="28" t="str">
        <f>Source!H58</f>
        <v>ШТ</v>
      </c>
      <c r="E127" s="9">
        <f>Source!I58</f>
        <v>2</v>
      </c>
      <c r="F127" s="30">
        <f>Source!AK58</f>
        <v>316.95</v>
      </c>
      <c r="G127" s="32" t="s">
        <v>3</v>
      </c>
      <c r="H127" s="9">
        <f>Source!AW58</f>
        <v>1</v>
      </c>
      <c r="I127" s="9">
        <f>IF(Source!BC58&lt;&gt;0,Source!BC58,1)</f>
        <v>1</v>
      </c>
      <c r="J127" s="31">
        <f>Source!O58</f>
        <v>633.9</v>
      </c>
      <c r="K127" s="31"/>
      <c r="Q127">
        <f>ROUND((Source!BZ58/100)*ROUND((Source!AF58*Source!AV58)*Source!I58,2),2)</f>
        <v>0</v>
      </c>
      <c r="R127">
        <f>Source!X58</f>
        <v>0</v>
      </c>
      <c r="S127">
        <f>ROUND((Source!CA58/100)*ROUND((Source!AF58*Source!AV58)*Source!I58,2),2)</f>
        <v>0</v>
      </c>
      <c r="T127">
        <f>Source!Y58</f>
        <v>0</v>
      </c>
      <c r="U127">
        <f>ROUND((175/100)*ROUND((Source!AE58*Source!AV58)*Source!I58,2),2)</f>
        <v>0</v>
      </c>
      <c r="V127">
        <f>ROUND((108/100)*ROUND(Source!CS58*Source!I58,2),2)</f>
        <v>0</v>
      </c>
    </row>
    <row r="128" spans="1:11" ht="14.25">
      <c r="A128" s="26"/>
      <c r="B128" s="27"/>
      <c r="C128" s="27" t="s">
        <v>479</v>
      </c>
      <c r="D128" s="28" t="s">
        <v>480</v>
      </c>
      <c r="E128" s="9">
        <f>Source!AT55</f>
        <v>70</v>
      </c>
      <c r="F128" s="30"/>
      <c r="G128" s="29"/>
      <c r="H128" s="9"/>
      <c r="I128" s="9"/>
      <c r="J128" s="31">
        <f>SUM(R120:R127)</f>
        <v>7421.2</v>
      </c>
      <c r="K128" s="31"/>
    </row>
    <row r="129" spans="1:11" ht="14.25">
      <c r="A129" s="26"/>
      <c r="B129" s="27"/>
      <c r="C129" s="27" t="s">
        <v>481</v>
      </c>
      <c r="D129" s="28" t="s">
        <v>480</v>
      </c>
      <c r="E129" s="9">
        <f>Source!AU55</f>
        <v>10</v>
      </c>
      <c r="F129" s="30"/>
      <c r="G129" s="29"/>
      <c r="H129" s="9"/>
      <c r="I129" s="9"/>
      <c r="J129" s="31">
        <f>SUM(T120:T128)</f>
        <v>1060.17</v>
      </c>
      <c r="K129" s="31"/>
    </row>
    <row r="130" spans="1:11" ht="14.25">
      <c r="A130" s="26"/>
      <c r="B130" s="27"/>
      <c r="C130" s="27" t="s">
        <v>486</v>
      </c>
      <c r="D130" s="28" t="s">
        <v>480</v>
      </c>
      <c r="E130" s="9">
        <f>108</f>
        <v>108</v>
      </c>
      <c r="F130" s="30"/>
      <c r="G130" s="29"/>
      <c r="H130" s="9"/>
      <c r="I130" s="9"/>
      <c r="J130" s="31">
        <f>SUM(V120:V129)</f>
        <v>6.04</v>
      </c>
      <c r="K130" s="31"/>
    </row>
    <row r="131" spans="1:11" ht="14.25">
      <c r="A131" s="26"/>
      <c r="B131" s="27"/>
      <c r="C131" s="27" t="s">
        <v>482</v>
      </c>
      <c r="D131" s="28" t="s">
        <v>483</v>
      </c>
      <c r="E131" s="9">
        <f>Source!AQ55</f>
        <v>126.5</v>
      </c>
      <c r="F131" s="30"/>
      <c r="G131" s="29">
        <f>Source!DI55</f>
      </c>
      <c r="H131" s="9">
        <f>Source!AV55</f>
        <v>1</v>
      </c>
      <c r="I131" s="9"/>
      <c r="J131" s="31"/>
      <c r="K131" s="31">
        <f>Source!U55</f>
        <v>60.72</v>
      </c>
    </row>
    <row r="132" spans="1:16" ht="15">
      <c r="A132" s="35"/>
      <c r="B132" s="35"/>
      <c r="C132" s="35"/>
      <c r="D132" s="35"/>
      <c r="E132" s="35"/>
      <c r="F132" s="35"/>
      <c r="G132" s="35"/>
      <c r="H132" s="35"/>
      <c r="I132" s="77">
        <f>J121+J122+J124+J128+J129+J130+SUM(J125:J127)</f>
        <v>62153.17999999999</v>
      </c>
      <c r="J132" s="77"/>
      <c r="K132" s="36">
        <f>IF(Source!I55&lt;&gt;0,ROUND(I132/Source!I55,2),0)</f>
        <v>129485.79</v>
      </c>
      <c r="P132" s="33">
        <f>I132</f>
        <v>62153.17999999999</v>
      </c>
    </row>
    <row r="133" spans="1:22" ht="57">
      <c r="A133" s="26" t="str">
        <f>Source!E59</f>
        <v>9</v>
      </c>
      <c r="B133" s="27" t="str">
        <f>Source!F59</f>
        <v>1.18-3703-3-1/1</v>
      </c>
      <c r="C133" s="27" t="str">
        <f>Source!G59</f>
        <v>Изоляция плоских и криволинейных поверхностей изделиями из вспененного каучука, вспененного полиэтилена</v>
      </c>
      <c r="D133" s="28" t="str">
        <f>Source!H59</f>
        <v>м2</v>
      </c>
      <c r="E133" s="9">
        <f>Source!I59</f>
        <v>25.6</v>
      </c>
      <c r="F133" s="30"/>
      <c r="G133" s="29"/>
      <c r="H133" s="9"/>
      <c r="I133" s="9"/>
      <c r="J133" s="31"/>
      <c r="K133" s="31"/>
      <c r="Q133">
        <f>ROUND((Source!BZ59/100)*ROUND((Source!AF59*Source!AV59)*Source!I59,2),2)</f>
        <v>2201.83</v>
      </c>
      <c r="R133">
        <f>Source!X59</f>
        <v>2201.83</v>
      </c>
      <c r="S133">
        <f>ROUND((Source!CA59/100)*ROUND((Source!AF59*Source!AV59)*Source!I59,2),2)</f>
        <v>314.55</v>
      </c>
      <c r="T133">
        <f>Source!Y59</f>
        <v>314.55</v>
      </c>
      <c r="U133">
        <f>ROUND((175/100)*ROUND((Source!AE59*Source!AV59)*Source!I59,2),2)</f>
        <v>0</v>
      </c>
      <c r="V133">
        <f>ROUND((108/100)*ROUND(Source!CS59*Source!I59,2),2)</f>
        <v>0</v>
      </c>
    </row>
    <row r="134" spans="1:11" ht="14.25">
      <c r="A134" s="26"/>
      <c r="B134" s="27"/>
      <c r="C134" s="27" t="s">
        <v>476</v>
      </c>
      <c r="D134" s="28"/>
      <c r="E134" s="9"/>
      <c r="F134" s="30">
        <f>Source!AO59</f>
        <v>122.87</v>
      </c>
      <c r="G134" s="29">
        <f>Source!DG59</f>
      </c>
      <c r="H134" s="9">
        <f>Source!AV59</f>
        <v>1</v>
      </c>
      <c r="I134" s="9">
        <f>IF(Source!BA59&lt;&gt;0,Source!BA59,1)</f>
        <v>1</v>
      </c>
      <c r="J134" s="31">
        <f>Source!S59</f>
        <v>3145.47</v>
      </c>
      <c r="K134" s="31"/>
    </row>
    <row r="135" spans="1:11" ht="14.25">
      <c r="A135" s="26"/>
      <c r="B135" s="27"/>
      <c r="C135" s="27" t="s">
        <v>477</v>
      </c>
      <c r="D135" s="28"/>
      <c r="E135" s="9"/>
      <c r="F135" s="30">
        <f>Source!AL59</f>
        <v>376.67</v>
      </c>
      <c r="G135" s="29">
        <f>Source!DD59</f>
      </c>
      <c r="H135" s="9">
        <f>Source!AW59</f>
        <v>1</v>
      </c>
      <c r="I135" s="9">
        <f>IF(Source!BC59&lt;&gt;0,Source!BC59,1)</f>
        <v>1</v>
      </c>
      <c r="J135" s="31">
        <f>Source!P59</f>
        <v>9642.75</v>
      </c>
      <c r="K135" s="31"/>
    </row>
    <row r="136" spans="1:22" ht="57">
      <c r="A136" s="26" t="str">
        <f>Source!E60</f>
        <v>9,1</v>
      </c>
      <c r="B136" s="27" t="str">
        <f>Source!F60</f>
        <v>21.1-14-10</v>
      </c>
      <c r="C136" s="27" t="str">
        <f>Source!G60</f>
        <v>Листы теплоизоляционные "Армафлекс", для поверхностей с температурой от -80 до +110 °С, толщина 13 мм</v>
      </c>
      <c r="D136" s="28" t="str">
        <f>Source!H60</f>
        <v>м2</v>
      </c>
      <c r="E136" s="9">
        <f>Source!I60</f>
        <v>26.879999999999995</v>
      </c>
      <c r="F136" s="30">
        <f>Source!AK60</f>
        <v>1021.98</v>
      </c>
      <c r="G136" s="32" t="s">
        <v>3</v>
      </c>
      <c r="H136" s="9">
        <f>Source!AW60</f>
        <v>1</v>
      </c>
      <c r="I136" s="9">
        <f>IF(Source!BC60&lt;&gt;0,Source!BC60,1)</f>
        <v>1</v>
      </c>
      <c r="J136" s="31">
        <f>Source!O60</f>
        <v>27470.82</v>
      </c>
      <c r="K136" s="31"/>
      <c r="Q136">
        <f>ROUND((Source!BZ60/100)*ROUND((Source!AF60*Source!AV60)*Source!I60,2),2)</f>
        <v>0</v>
      </c>
      <c r="R136">
        <f>Source!X60</f>
        <v>0</v>
      </c>
      <c r="S136">
        <f>ROUND((Source!CA60/100)*ROUND((Source!AF60*Source!AV60)*Source!I60,2),2)</f>
        <v>0</v>
      </c>
      <c r="T136">
        <f>Source!Y60</f>
        <v>0</v>
      </c>
      <c r="U136">
        <f>ROUND((175/100)*ROUND((Source!AE60*Source!AV60)*Source!I60,2),2)</f>
        <v>0</v>
      </c>
      <c r="V136">
        <f>ROUND((108/100)*ROUND(Source!CS60*Source!I60,2),2)</f>
        <v>0</v>
      </c>
    </row>
    <row r="137" spans="1:22" ht="28.5">
      <c r="A137" s="26" t="str">
        <f>Source!E61</f>
        <v>9,2</v>
      </c>
      <c r="B137" s="27" t="str">
        <f>Source!F61</f>
        <v>21.1-25-782</v>
      </c>
      <c r="C137" s="27" t="str">
        <f>Source!G61</f>
        <v>Клей резиновый, 78 БЦСП</v>
      </c>
      <c r="D137" s="28" t="str">
        <f>Source!H61</f>
        <v>кг</v>
      </c>
      <c r="E137" s="9">
        <f>Source!I61</f>
        <v>5.12</v>
      </c>
      <c r="F137" s="30">
        <f>Source!AK61</f>
        <v>252.32</v>
      </c>
      <c r="G137" s="32" t="s">
        <v>3</v>
      </c>
      <c r="H137" s="9">
        <f>Source!AW61</f>
        <v>1</v>
      </c>
      <c r="I137" s="9">
        <f>IF(Source!BC61&lt;&gt;0,Source!BC61,1)</f>
        <v>1</v>
      </c>
      <c r="J137" s="31">
        <f>Source!O61</f>
        <v>1291.88</v>
      </c>
      <c r="K137" s="31"/>
      <c r="Q137">
        <f>ROUND((Source!BZ61/100)*ROUND((Source!AF61*Source!AV61)*Source!I61,2),2)</f>
        <v>0</v>
      </c>
      <c r="R137">
        <f>Source!X61</f>
        <v>0</v>
      </c>
      <c r="S137">
        <f>ROUND((Source!CA61/100)*ROUND((Source!AF61*Source!AV61)*Source!I61,2),2)</f>
        <v>0</v>
      </c>
      <c r="T137">
        <f>Source!Y61</f>
        <v>0</v>
      </c>
      <c r="U137">
        <f>ROUND((175/100)*ROUND((Source!AE61*Source!AV61)*Source!I61,2),2)</f>
        <v>0</v>
      </c>
      <c r="V137">
        <f>ROUND((108/100)*ROUND(Source!CS61*Source!I61,2),2)</f>
        <v>0</v>
      </c>
    </row>
    <row r="138" spans="1:11" ht="14.25">
      <c r="A138" s="26"/>
      <c r="B138" s="27"/>
      <c r="C138" s="27" t="s">
        <v>479</v>
      </c>
      <c r="D138" s="28" t="s">
        <v>480</v>
      </c>
      <c r="E138" s="9">
        <f>Source!AT59</f>
        <v>70</v>
      </c>
      <c r="F138" s="30"/>
      <c r="G138" s="29"/>
      <c r="H138" s="9"/>
      <c r="I138" s="9"/>
      <c r="J138" s="31">
        <f>SUM(R133:R137)</f>
        <v>2201.83</v>
      </c>
      <c r="K138" s="31"/>
    </row>
    <row r="139" spans="1:11" ht="14.25">
      <c r="A139" s="26"/>
      <c r="B139" s="27"/>
      <c r="C139" s="27" t="s">
        <v>481</v>
      </c>
      <c r="D139" s="28" t="s">
        <v>480</v>
      </c>
      <c r="E139" s="9">
        <f>Source!AU59</f>
        <v>10</v>
      </c>
      <c r="F139" s="30"/>
      <c r="G139" s="29"/>
      <c r="H139" s="9"/>
      <c r="I139" s="9"/>
      <c r="J139" s="31">
        <f>SUM(T133:T138)</f>
        <v>314.55</v>
      </c>
      <c r="K139" s="31"/>
    </row>
    <row r="140" spans="1:11" ht="14.25">
      <c r="A140" s="26"/>
      <c r="B140" s="27"/>
      <c r="C140" s="27" t="s">
        <v>482</v>
      </c>
      <c r="D140" s="28" t="s">
        <v>483</v>
      </c>
      <c r="E140" s="9">
        <f>Source!AQ59</f>
        <v>0.58</v>
      </c>
      <c r="F140" s="30"/>
      <c r="G140" s="29">
        <f>Source!DI59</f>
      </c>
      <c r="H140" s="9">
        <f>Source!AV59</f>
        <v>1</v>
      </c>
      <c r="I140" s="9"/>
      <c r="J140" s="31"/>
      <c r="K140" s="31">
        <f>Source!U59</f>
        <v>14.847999999999999</v>
      </c>
    </row>
    <row r="141" spans="1:16" ht="15">
      <c r="A141" s="35"/>
      <c r="B141" s="35"/>
      <c r="C141" s="35"/>
      <c r="D141" s="35"/>
      <c r="E141" s="35"/>
      <c r="F141" s="35"/>
      <c r="G141" s="35"/>
      <c r="H141" s="35"/>
      <c r="I141" s="77">
        <f>J134+J135+J138+J139+SUM(J136:J137)</f>
        <v>44067.3</v>
      </c>
      <c r="J141" s="77"/>
      <c r="K141" s="36">
        <f>IF(Source!I59&lt;&gt;0,ROUND(I141/Source!I59,2),0)</f>
        <v>1721.38</v>
      </c>
      <c r="P141" s="33">
        <f>I141</f>
        <v>44067.3</v>
      </c>
    </row>
    <row r="142" spans="1:22" ht="57">
      <c r="A142" s="26" t="str">
        <f>Source!E62</f>
        <v>10</v>
      </c>
      <c r="B142" s="27" t="str">
        <f>Source!F62</f>
        <v>1.18-3203-9-6/1</v>
      </c>
      <c r="C142" s="27" t="str">
        <f>Source!G62</f>
        <v>Установка зонтов над шахтами из листовой стали прямоугольного сечения периметром 3200 мм (без стоимости креплений) (зонт 720х720)</v>
      </c>
      <c r="D142" s="28" t="str">
        <f>Source!H62</f>
        <v>шт.</v>
      </c>
      <c r="E142" s="9">
        <f>Source!I62</f>
        <v>1</v>
      </c>
      <c r="F142" s="30"/>
      <c r="G142" s="29"/>
      <c r="H142" s="9"/>
      <c r="I142" s="9"/>
      <c r="J142" s="31"/>
      <c r="K142" s="31"/>
      <c r="Q142">
        <f>ROUND((Source!BZ62/100)*ROUND((Source!AF62*Source!AV62)*Source!I62,2),2)</f>
        <v>248.63</v>
      </c>
      <c r="R142">
        <f>Source!X62</f>
        <v>248.63</v>
      </c>
      <c r="S142">
        <f>ROUND((Source!CA62/100)*ROUND((Source!AF62*Source!AV62)*Source!I62,2),2)</f>
        <v>35.52</v>
      </c>
      <c r="T142">
        <f>Source!Y62</f>
        <v>35.52</v>
      </c>
      <c r="U142">
        <f>ROUND((175/100)*ROUND((Source!AE62*Source!AV62)*Source!I62,2),2)</f>
        <v>1.8</v>
      </c>
      <c r="V142">
        <f>ROUND((108/100)*ROUND(Source!CS62*Source!I62,2),2)</f>
        <v>1.11</v>
      </c>
    </row>
    <row r="143" spans="1:11" ht="14.25">
      <c r="A143" s="26"/>
      <c r="B143" s="27"/>
      <c r="C143" s="27" t="s">
        <v>476</v>
      </c>
      <c r="D143" s="28"/>
      <c r="E143" s="9"/>
      <c r="F143" s="30">
        <f>Source!AO62</f>
        <v>355.18</v>
      </c>
      <c r="G143" s="29">
        <f>Source!DG62</f>
      </c>
      <c r="H143" s="9">
        <f>Source!AV62</f>
        <v>1</v>
      </c>
      <c r="I143" s="9">
        <f>IF(Source!BA62&lt;&gt;0,Source!BA62,1)</f>
        <v>1</v>
      </c>
      <c r="J143" s="31">
        <f>Source!S62</f>
        <v>355.18</v>
      </c>
      <c r="K143" s="31"/>
    </row>
    <row r="144" spans="1:11" ht="14.25">
      <c r="A144" s="26"/>
      <c r="B144" s="27"/>
      <c r="C144" s="27" t="s">
        <v>484</v>
      </c>
      <c r="D144" s="28"/>
      <c r="E144" s="9"/>
      <c r="F144" s="30">
        <f>Source!AM62</f>
        <v>4.92</v>
      </c>
      <c r="G144" s="29">
        <f>Source!DE62</f>
      </c>
      <c r="H144" s="9">
        <f>Source!AV62</f>
        <v>1</v>
      </c>
      <c r="I144" s="9">
        <f>IF(Source!BB62&lt;&gt;0,Source!BB62,1)</f>
        <v>1</v>
      </c>
      <c r="J144" s="31">
        <f>Source!Q62</f>
        <v>4.92</v>
      </c>
      <c r="K144" s="31"/>
    </row>
    <row r="145" spans="1:11" ht="14.25">
      <c r="A145" s="26"/>
      <c r="B145" s="27"/>
      <c r="C145" s="27" t="s">
        <v>485</v>
      </c>
      <c r="D145" s="28"/>
      <c r="E145" s="9"/>
      <c r="F145" s="30">
        <f>Source!AN62</f>
        <v>1.03</v>
      </c>
      <c r="G145" s="29">
        <f>Source!DF62</f>
      </c>
      <c r="H145" s="9">
        <f>Source!AV62</f>
        <v>1</v>
      </c>
      <c r="I145" s="9">
        <f>IF(Source!BS62&lt;&gt;0,Source!BS62,1)</f>
        <v>1</v>
      </c>
      <c r="J145" s="37">
        <f>Source!R62</f>
        <v>1.03</v>
      </c>
      <c r="K145" s="31"/>
    </row>
    <row r="146" spans="1:11" ht="14.25">
      <c r="A146" s="26"/>
      <c r="B146" s="27"/>
      <c r="C146" s="27" t="s">
        <v>477</v>
      </c>
      <c r="D146" s="28"/>
      <c r="E146" s="9"/>
      <c r="F146" s="30">
        <f>Source!AL62</f>
        <v>3097.42</v>
      </c>
      <c r="G146" s="29">
        <f>Source!DD62</f>
      </c>
      <c r="H146" s="9">
        <f>Source!AW62</f>
        <v>1</v>
      </c>
      <c r="I146" s="9">
        <f>IF(Source!BC62&lt;&gt;0,Source!BC62,1)</f>
        <v>1</v>
      </c>
      <c r="J146" s="31">
        <f>Source!P62</f>
        <v>3097.42</v>
      </c>
      <c r="K146" s="31"/>
    </row>
    <row r="147" spans="1:22" ht="57">
      <c r="A147" s="26" t="str">
        <f>Source!E63</f>
        <v>10,1</v>
      </c>
      <c r="B147" s="27" t="str">
        <f>Source!F63</f>
        <v>цена поставщика Том1. п.17</v>
      </c>
      <c r="C147" s="27" t="s">
        <v>490</v>
      </c>
      <c r="D147" s="28" t="str">
        <f>Source!H63</f>
        <v>ШТ</v>
      </c>
      <c r="E147" s="9">
        <f>Source!I63</f>
        <v>1</v>
      </c>
      <c r="F147" s="30">
        <f>Source!AK63</f>
        <v>1426.27</v>
      </c>
      <c r="G147" s="32" t="s">
        <v>3</v>
      </c>
      <c r="H147" s="9">
        <f>Source!AW63</f>
        <v>1</v>
      </c>
      <c r="I147" s="9">
        <f>IF(Source!BC63&lt;&gt;0,Source!BC63,1)</f>
        <v>1</v>
      </c>
      <c r="J147" s="31">
        <f>Source!O63</f>
        <v>1426.27</v>
      </c>
      <c r="K147" s="31"/>
      <c r="Q147">
        <f>ROUND((Source!BZ63/100)*ROUND((Source!AF63*Source!AV63)*Source!I63,2),2)</f>
        <v>0</v>
      </c>
      <c r="R147">
        <f>Source!X63</f>
        <v>0</v>
      </c>
      <c r="S147">
        <f>ROUND((Source!CA63/100)*ROUND((Source!AF63*Source!AV63)*Source!I63,2),2)</f>
        <v>0</v>
      </c>
      <c r="T147">
        <f>Source!Y63</f>
        <v>0</v>
      </c>
      <c r="U147">
        <f>ROUND((175/100)*ROUND((Source!AE63*Source!AV63)*Source!I63,2),2)</f>
        <v>0</v>
      </c>
      <c r="V147">
        <f>ROUND((108/100)*ROUND(Source!CS63*Source!I63,2),2)</f>
        <v>0</v>
      </c>
    </row>
    <row r="148" spans="1:22" ht="42.75">
      <c r="A148" s="26" t="str">
        <f>Source!E64</f>
        <v>10,2</v>
      </c>
      <c r="B148" s="27" t="str">
        <f>Source!F64</f>
        <v>21.19-12-33</v>
      </c>
      <c r="C148" s="27" t="str">
        <f>Source!G64</f>
        <v>Средства крепления - кронштейн и подставка под оборудование из сортовой стали</v>
      </c>
      <c r="D148" s="28" t="str">
        <f>Source!H64</f>
        <v>кг</v>
      </c>
      <c r="E148" s="9">
        <f>Source!I64</f>
        <v>7.1</v>
      </c>
      <c r="F148" s="30">
        <f>Source!AK64</f>
        <v>98.44</v>
      </c>
      <c r="G148" s="32" t="s">
        <v>3</v>
      </c>
      <c r="H148" s="9">
        <f>Source!AW64</f>
        <v>1</v>
      </c>
      <c r="I148" s="9">
        <f>IF(Source!BC64&lt;&gt;0,Source!BC64,1)</f>
        <v>1</v>
      </c>
      <c r="J148" s="31">
        <f>Source!O64</f>
        <v>698.92</v>
      </c>
      <c r="K148" s="31"/>
      <c r="Q148">
        <f>ROUND((Source!BZ64/100)*ROUND((Source!AF64*Source!AV64)*Source!I64,2),2)</f>
        <v>0</v>
      </c>
      <c r="R148">
        <f>Source!X64</f>
        <v>0</v>
      </c>
      <c r="S148">
        <f>ROUND((Source!CA64/100)*ROUND((Source!AF64*Source!AV64)*Source!I64,2),2)</f>
        <v>0</v>
      </c>
      <c r="T148">
        <f>Source!Y64</f>
        <v>0</v>
      </c>
      <c r="U148">
        <f>ROUND((175/100)*ROUND((Source!AE64*Source!AV64)*Source!I64,2),2)</f>
        <v>0</v>
      </c>
      <c r="V148">
        <f>ROUND((108/100)*ROUND(Source!CS64*Source!I64,2),2)</f>
        <v>0</v>
      </c>
    </row>
    <row r="149" spans="1:22" ht="42.75">
      <c r="A149" s="26" t="str">
        <f>Source!E65</f>
        <v>10,3</v>
      </c>
      <c r="B149" s="27" t="str">
        <f>Source!F65</f>
        <v>21.19-12-55</v>
      </c>
      <c r="C149" s="27" t="str">
        <f>Source!G65</f>
        <v>Зонты вентиляционных систем из оцинкованной стали, прямоугольного сечения, 800х800мм (зонт 720х720)</v>
      </c>
      <c r="D149" s="28" t="str">
        <f>Source!H65</f>
        <v>шт.</v>
      </c>
      <c r="E149" s="9">
        <f>Source!I65</f>
        <v>-1</v>
      </c>
      <c r="F149" s="30">
        <f>Source!AK65</f>
        <v>3019.37</v>
      </c>
      <c r="G149" s="32" t="s">
        <v>3</v>
      </c>
      <c r="H149" s="9">
        <f>Source!AW65</f>
        <v>1</v>
      </c>
      <c r="I149" s="9">
        <f>IF(Source!BC65&lt;&gt;0,Source!BC65,1)</f>
        <v>1</v>
      </c>
      <c r="J149" s="31">
        <f>Source!O65</f>
        <v>-3019.37</v>
      </c>
      <c r="K149" s="31"/>
      <c r="Q149">
        <f>ROUND((Source!BZ65/100)*ROUND((Source!AF65*Source!AV65)*Source!I65,2),2)</f>
        <v>0</v>
      </c>
      <c r="R149">
        <f>Source!X65</f>
        <v>0</v>
      </c>
      <c r="S149">
        <f>ROUND((Source!CA65/100)*ROUND((Source!AF65*Source!AV65)*Source!I65,2),2)</f>
        <v>0</v>
      </c>
      <c r="T149">
        <f>Source!Y65</f>
        <v>0</v>
      </c>
      <c r="U149">
        <f>ROUND((175/100)*ROUND((Source!AE65*Source!AV65)*Source!I65,2),2)</f>
        <v>0</v>
      </c>
      <c r="V149">
        <f>ROUND((108/100)*ROUND(Source!CS65*Source!I65,2),2)</f>
        <v>0</v>
      </c>
    </row>
    <row r="150" spans="1:11" ht="14.25">
      <c r="A150" s="26"/>
      <c r="B150" s="27"/>
      <c r="C150" s="27" t="s">
        <v>479</v>
      </c>
      <c r="D150" s="28" t="s">
        <v>480</v>
      </c>
      <c r="E150" s="9">
        <f>Source!AT62</f>
        <v>70</v>
      </c>
      <c r="F150" s="30"/>
      <c r="G150" s="29"/>
      <c r="H150" s="9"/>
      <c r="I150" s="9"/>
      <c r="J150" s="31">
        <f>SUM(R142:R149)</f>
        <v>248.63</v>
      </c>
      <c r="K150" s="31"/>
    </row>
    <row r="151" spans="1:11" ht="14.25">
      <c r="A151" s="26"/>
      <c r="B151" s="27"/>
      <c r="C151" s="27" t="s">
        <v>481</v>
      </c>
      <c r="D151" s="28" t="s">
        <v>480</v>
      </c>
      <c r="E151" s="9">
        <f>Source!AU62</f>
        <v>10</v>
      </c>
      <c r="F151" s="30"/>
      <c r="G151" s="29"/>
      <c r="H151" s="9"/>
      <c r="I151" s="9"/>
      <c r="J151" s="31">
        <f>SUM(T142:T150)</f>
        <v>35.52</v>
      </c>
      <c r="K151" s="31"/>
    </row>
    <row r="152" spans="1:11" ht="14.25">
      <c r="A152" s="26"/>
      <c r="B152" s="27"/>
      <c r="C152" s="27" t="s">
        <v>486</v>
      </c>
      <c r="D152" s="28" t="s">
        <v>480</v>
      </c>
      <c r="E152" s="9">
        <f>108</f>
        <v>108</v>
      </c>
      <c r="F152" s="30"/>
      <c r="G152" s="29"/>
      <c r="H152" s="9"/>
      <c r="I152" s="9"/>
      <c r="J152" s="31">
        <f>SUM(V142:V151)</f>
        <v>1.11</v>
      </c>
      <c r="K152" s="31"/>
    </row>
    <row r="153" spans="1:11" ht="14.25">
      <c r="A153" s="26"/>
      <c r="B153" s="27"/>
      <c r="C153" s="27" t="s">
        <v>482</v>
      </c>
      <c r="D153" s="28" t="s">
        <v>483</v>
      </c>
      <c r="E153" s="9">
        <f>Source!AQ62</f>
        <v>1.99</v>
      </c>
      <c r="F153" s="30"/>
      <c r="G153" s="29">
        <f>Source!DI62</f>
      </c>
      <c r="H153" s="9">
        <f>Source!AV62</f>
        <v>1</v>
      </c>
      <c r="I153" s="9"/>
      <c r="J153" s="31"/>
      <c r="K153" s="31">
        <f>Source!U62</f>
        <v>1.99</v>
      </c>
    </row>
    <row r="154" spans="1:16" ht="15">
      <c r="A154" s="35"/>
      <c r="B154" s="35"/>
      <c r="C154" s="35"/>
      <c r="D154" s="35"/>
      <c r="E154" s="35"/>
      <c r="F154" s="35"/>
      <c r="G154" s="35"/>
      <c r="H154" s="35"/>
      <c r="I154" s="77">
        <f>J143+J144+J146+J150+J151+J152+SUM(J147:J149)</f>
        <v>2848.6000000000004</v>
      </c>
      <c r="J154" s="77"/>
      <c r="K154" s="36">
        <f>IF(Source!I62&lt;&gt;0,ROUND(I154/Source!I62,2),0)</f>
        <v>2848.6</v>
      </c>
      <c r="P154" s="33">
        <f>I154</f>
        <v>2848.6000000000004</v>
      </c>
    </row>
    <row r="155" spans="1:22" ht="57">
      <c r="A155" s="26" t="str">
        <f>Source!E66</f>
        <v>11</v>
      </c>
      <c r="B155" s="27" t="str">
        <f>Source!F66</f>
        <v>1.18-3203-9-6/1</v>
      </c>
      <c r="C155" s="27" t="str">
        <f>Source!G66</f>
        <v>Установка зонтов над шахтами из листовой стали прямоугольного сечения периметром 3200 мм (без стоимости креплений) (зонт 720х900)</v>
      </c>
      <c r="D155" s="28" t="str">
        <f>Source!H66</f>
        <v>шт.</v>
      </c>
      <c r="E155" s="9">
        <f>Source!I66</f>
        <v>7</v>
      </c>
      <c r="F155" s="30"/>
      <c r="G155" s="29"/>
      <c r="H155" s="9"/>
      <c r="I155" s="9"/>
      <c r="J155" s="31"/>
      <c r="K155" s="31"/>
      <c r="Q155">
        <f>ROUND((Source!BZ66/100)*ROUND((Source!AF66*Source!AV66)*Source!I66,2),2)</f>
        <v>1740.38</v>
      </c>
      <c r="R155">
        <f>Source!X66</f>
        <v>1740.38</v>
      </c>
      <c r="S155">
        <f>ROUND((Source!CA66/100)*ROUND((Source!AF66*Source!AV66)*Source!I66,2),2)</f>
        <v>248.63</v>
      </c>
      <c r="T155">
        <f>Source!Y66</f>
        <v>248.63</v>
      </c>
      <c r="U155">
        <f>ROUND((175/100)*ROUND((Source!AE66*Source!AV66)*Source!I66,2),2)</f>
        <v>12.62</v>
      </c>
      <c r="V155">
        <f>ROUND((108/100)*ROUND(Source!CS66*Source!I66,2),2)</f>
        <v>7.79</v>
      </c>
    </row>
    <row r="156" spans="1:11" ht="14.25">
      <c r="A156" s="26"/>
      <c r="B156" s="27"/>
      <c r="C156" s="27" t="s">
        <v>476</v>
      </c>
      <c r="D156" s="28"/>
      <c r="E156" s="9"/>
      <c r="F156" s="30">
        <f>Source!AO66</f>
        <v>355.18</v>
      </c>
      <c r="G156" s="29">
        <f>Source!DG66</f>
      </c>
      <c r="H156" s="9">
        <f>Source!AV66</f>
        <v>1</v>
      </c>
      <c r="I156" s="9">
        <f>IF(Source!BA66&lt;&gt;0,Source!BA66,1)</f>
        <v>1</v>
      </c>
      <c r="J156" s="31">
        <f>Source!S66</f>
        <v>2486.26</v>
      </c>
      <c r="K156" s="31"/>
    </row>
    <row r="157" spans="1:11" ht="14.25">
      <c r="A157" s="26"/>
      <c r="B157" s="27"/>
      <c r="C157" s="27" t="s">
        <v>484</v>
      </c>
      <c r="D157" s="28"/>
      <c r="E157" s="9"/>
      <c r="F157" s="30">
        <f>Source!AM66</f>
        <v>4.92</v>
      </c>
      <c r="G157" s="29">
        <f>Source!DE66</f>
      </c>
      <c r="H157" s="9">
        <f>Source!AV66</f>
        <v>1</v>
      </c>
      <c r="I157" s="9">
        <f>IF(Source!BB66&lt;&gt;0,Source!BB66,1)</f>
        <v>1</v>
      </c>
      <c r="J157" s="31">
        <f>Source!Q66</f>
        <v>34.44</v>
      </c>
      <c r="K157" s="31"/>
    </row>
    <row r="158" spans="1:11" ht="14.25">
      <c r="A158" s="26"/>
      <c r="B158" s="27"/>
      <c r="C158" s="27" t="s">
        <v>485</v>
      </c>
      <c r="D158" s="28"/>
      <c r="E158" s="9"/>
      <c r="F158" s="30">
        <f>Source!AN66</f>
        <v>1.03</v>
      </c>
      <c r="G158" s="29">
        <f>Source!DF66</f>
      </c>
      <c r="H158" s="9">
        <f>Source!AV66</f>
        <v>1</v>
      </c>
      <c r="I158" s="9">
        <f>IF(Source!BS66&lt;&gt;0,Source!BS66,1)</f>
        <v>1</v>
      </c>
      <c r="J158" s="37">
        <f>Source!R66</f>
        <v>7.21</v>
      </c>
      <c r="K158" s="31"/>
    </row>
    <row r="159" spans="1:11" ht="14.25">
      <c r="A159" s="26"/>
      <c r="B159" s="27"/>
      <c r="C159" s="27" t="s">
        <v>477</v>
      </c>
      <c r="D159" s="28"/>
      <c r="E159" s="9"/>
      <c r="F159" s="30">
        <f>Source!AL66</f>
        <v>3097.42</v>
      </c>
      <c r="G159" s="29">
        <f>Source!DD66</f>
      </c>
      <c r="H159" s="9">
        <f>Source!AW66</f>
        <v>1</v>
      </c>
      <c r="I159" s="9">
        <f>IF(Source!BC66&lt;&gt;0,Source!BC66,1)</f>
        <v>1</v>
      </c>
      <c r="J159" s="31">
        <f>Source!P66</f>
        <v>21681.94</v>
      </c>
      <c r="K159" s="31"/>
    </row>
    <row r="160" spans="1:22" ht="42.75">
      <c r="A160" s="26" t="str">
        <f>Source!E67</f>
        <v>11,1</v>
      </c>
      <c r="B160" s="27" t="str">
        <f>Source!F67</f>
        <v>21.19-12-33</v>
      </c>
      <c r="C160" s="27" t="str">
        <f>Source!G67</f>
        <v>Средства крепления - кронштейн и подставка под оборудование из сортовой стали</v>
      </c>
      <c r="D160" s="28" t="str">
        <f>Source!H67</f>
        <v>кг</v>
      </c>
      <c r="E160" s="9">
        <f>Source!I67</f>
        <v>49</v>
      </c>
      <c r="F160" s="30">
        <f>Source!AK67</f>
        <v>98.44</v>
      </c>
      <c r="G160" s="32" t="s">
        <v>3</v>
      </c>
      <c r="H160" s="9">
        <f>Source!AW67</f>
        <v>1</v>
      </c>
      <c r="I160" s="9">
        <f>IF(Source!BC67&lt;&gt;0,Source!BC67,1)</f>
        <v>1</v>
      </c>
      <c r="J160" s="31">
        <f>Source!O67</f>
        <v>4823.56</v>
      </c>
      <c r="K160" s="31"/>
      <c r="Q160">
        <f>ROUND((Source!BZ67/100)*ROUND((Source!AF67*Source!AV67)*Source!I67,2),2)</f>
        <v>0</v>
      </c>
      <c r="R160">
        <f>Source!X67</f>
        <v>0</v>
      </c>
      <c r="S160">
        <f>ROUND((Source!CA67/100)*ROUND((Source!AF67*Source!AV67)*Source!I67,2),2)</f>
        <v>0</v>
      </c>
      <c r="T160">
        <f>Source!Y67</f>
        <v>0</v>
      </c>
      <c r="U160">
        <f>ROUND((175/100)*ROUND((Source!AE67*Source!AV67)*Source!I67,2),2)</f>
        <v>0</v>
      </c>
      <c r="V160">
        <f>ROUND((108/100)*ROUND(Source!CS67*Source!I67,2),2)</f>
        <v>0</v>
      </c>
    </row>
    <row r="161" spans="1:11" ht="14.25">
      <c r="A161" s="26"/>
      <c r="B161" s="27"/>
      <c r="C161" s="27" t="s">
        <v>479</v>
      </c>
      <c r="D161" s="28" t="s">
        <v>480</v>
      </c>
      <c r="E161" s="9">
        <f>Source!AT66</f>
        <v>70</v>
      </c>
      <c r="F161" s="30"/>
      <c r="G161" s="29"/>
      <c r="H161" s="9"/>
      <c r="I161" s="9"/>
      <c r="J161" s="31">
        <f>SUM(R155:R160)</f>
        <v>1740.38</v>
      </c>
      <c r="K161" s="31"/>
    </row>
    <row r="162" spans="1:11" ht="14.25">
      <c r="A162" s="26"/>
      <c r="B162" s="27"/>
      <c r="C162" s="27" t="s">
        <v>481</v>
      </c>
      <c r="D162" s="28" t="s">
        <v>480</v>
      </c>
      <c r="E162" s="9">
        <f>Source!AU66</f>
        <v>10</v>
      </c>
      <c r="F162" s="30"/>
      <c r="G162" s="29"/>
      <c r="H162" s="9"/>
      <c r="I162" s="9"/>
      <c r="J162" s="31">
        <f>SUM(T155:T161)</f>
        <v>248.63</v>
      </c>
      <c r="K162" s="31"/>
    </row>
    <row r="163" spans="1:11" ht="14.25">
      <c r="A163" s="26"/>
      <c r="B163" s="27"/>
      <c r="C163" s="27" t="s">
        <v>486</v>
      </c>
      <c r="D163" s="28" t="s">
        <v>480</v>
      </c>
      <c r="E163" s="9">
        <f>108</f>
        <v>108</v>
      </c>
      <c r="F163" s="30"/>
      <c r="G163" s="29"/>
      <c r="H163" s="9"/>
      <c r="I163" s="9"/>
      <c r="J163" s="31">
        <f>SUM(V155:V162)</f>
        <v>7.79</v>
      </c>
      <c r="K163" s="31"/>
    </row>
    <row r="164" spans="1:11" ht="14.25">
      <c r="A164" s="26"/>
      <c r="B164" s="27"/>
      <c r="C164" s="27" t="s">
        <v>482</v>
      </c>
      <c r="D164" s="28" t="s">
        <v>483</v>
      </c>
      <c r="E164" s="9">
        <f>Source!AQ66</f>
        <v>1.99</v>
      </c>
      <c r="F164" s="30"/>
      <c r="G164" s="29">
        <f>Source!DI66</f>
      </c>
      <c r="H164" s="9">
        <f>Source!AV66</f>
        <v>1</v>
      </c>
      <c r="I164" s="9"/>
      <c r="J164" s="31"/>
      <c r="K164" s="31">
        <f>Source!U66</f>
        <v>13.93</v>
      </c>
    </row>
    <row r="165" spans="1:16" ht="15">
      <c r="A165" s="35"/>
      <c r="B165" s="35"/>
      <c r="C165" s="35"/>
      <c r="D165" s="35"/>
      <c r="E165" s="35"/>
      <c r="F165" s="35"/>
      <c r="G165" s="35"/>
      <c r="H165" s="35"/>
      <c r="I165" s="77">
        <f>J156+J157+J159+J161+J162+J163+SUM(J160:J160)</f>
        <v>31023.000000000004</v>
      </c>
      <c r="J165" s="77"/>
      <c r="K165" s="36">
        <f>IF(Source!I66&lt;&gt;0,ROUND(I165/Source!I66,2),0)</f>
        <v>4431.86</v>
      </c>
      <c r="P165" s="33">
        <f>I165</f>
        <v>31023.000000000004</v>
      </c>
    </row>
    <row r="166" spans="1:22" ht="57">
      <c r="A166" s="26" t="str">
        <f>Source!E68</f>
        <v>12</v>
      </c>
      <c r="B166" s="27" t="str">
        <f>Source!F68</f>
        <v>1.18-3203-9-7/1</v>
      </c>
      <c r="C166" s="27" t="str">
        <f>Source!G68</f>
        <v>Установка зонтов над шахтами из листовой стали прямоугольного сечения периметром 3600 мм (без стоимости креплений) (зонт 720х1080)</v>
      </c>
      <c r="D166" s="28" t="str">
        <f>Source!H68</f>
        <v>шт.</v>
      </c>
      <c r="E166" s="9">
        <f>Source!I68</f>
        <v>2</v>
      </c>
      <c r="F166" s="30"/>
      <c r="G166" s="29"/>
      <c r="H166" s="9"/>
      <c r="I166" s="9"/>
      <c r="J166" s="31"/>
      <c r="K166" s="31"/>
      <c r="Q166">
        <f>ROUND((Source!BZ68/100)*ROUND((Source!AF68*Source!AV68)*Source!I68,2),2)</f>
        <v>712.14</v>
      </c>
      <c r="R166">
        <f>Source!X68</f>
        <v>712.14</v>
      </c>
      <c r="S166">
        <f>ROUND((Source!CA68/100)*ROUND((Source!AF68*Source!AV68)*Source!I68,2),2)</f>
        <v>101.73</v>
      </c>
      <c r="T166">
        <f>Source!Y68</f>
        <v>101.73</v>
      </c>
      <c r="U166">
        <f>ROUND((175/100)*ROUND((Source!AE68*Source!AV68)*Source!I68,2),2)</f>
        <v>3.61</v>
      </c>
      <c r="V166">
        <f>ROUND((108/100)*ROUND(Source!CS68*Source!I68,2),2)</f>
        <v>2.22</v>
      </c>
    </row>
    <row r="167" spans="1:11" ht="14.25">
      <c r="A167" s="26"/>
      <c r="B167" s="27"/>
      <c r="C167" s="27" t="s">
        <v>476</v>
      </c>
      <c r="D167" s="28"/>
      <c r="E167" s="9"/>
      <c r="F167" s="30">
        <f>Source!AO68</f>
        <v>508.67</v>
      </c>
      <c r="G167" s="29">
        <f>Source!DG68</f>
      </c>
      <c r="H167" s="9">
        <f>Source!AV68</f>
        <v>1</v>
      </c>
      <c r="I167" s="9">
        <f>IF(Source!BA68&lt;&gt;0,Source!BA68,1)</f>
        <v>1</v>
      </c>
      <c r="J167" s="31">
        <f>Source!S68</f>
        <v>1017.34</v>
      </c>
      <c r="K167" s="31"/>
    </row>
    <row r="168" spans="1:11" ht="14.25">
      <c r="A168" s="26"/>
      <c r="B168" s="27"/>
      <c r="C168" s="27" t="s">
        <v>484</v>
      </c>
      <c r="D168" s="28"/>
      <c r="E168" s="9"/>
      <c r="F168" s="30">
        <f>Source!AM68</f>
        <v>4.92</v>
      </c>
      <c r="G168" s="29">
        <f>Source!DE68</f>
      </c>
      <c r="H168" s="9">
        <f>Source!AV68</f>
        <v>1</v>
      </c>
      <c r="I168" s="9">
        <f>IF(Source!BB68&lt;&gt;0,Source!BB68,1)</f>
        <v>1</v>
      </c>
      <c r="J168" s="31">
        <f>Source!Q68</f>
        <v>9.84</v>
      </c>
      <c r="K168" s="31"/>
    </row>
    <row r="169" spans="1:11" ht="14.25">
      <c r="A169" s="26"/>
      <c r="B169" s="27"/>
      <c r="C169" s="27" t="s">
        <v>485</v>
      </c>
      <c r="D169" s="28"/>
      <c r="E169" s="9"/>
      <c r="F169" s="30">
        <f>Source!AN68</f>
        <v>1.03</v>
      </c>
      <c r="G169" s="29">
        <f>Source!DF68</f>
      </c>
      <c r="H169" s="9">
        <f>Source!AV68</f>
        <v>1</v>
      </c>
      <c r="I169" s="9">
        <f>IF(Source!BS68&lt;&gt;0,Source!BS68,1)</f>
        <v>1</v>
      </c>
      <c r="J169" s="37">
        <f>Source!R68</f>
        <v>2.06</v>
      </c>
      <c r="K169" s="31"/>
    </row>
    <row r="170" spans="1:11" ht="14.25">
      <c r="A170" s="26"/>
      <c r="B170" s="27"/>
      <c r="C170" s="27" t="s">
        <v>477</v>
      </c>
      <c r="D170" s="28"/>
      <c r="E170" s="9"/>
      <c r="F170" s="30">
        <f>Source!AL68</f>
        <v>4100.76</v>
      </c>
      <c r="G170" s="29">
        <f>Source!DD68</f>
      </c>
      <c r="H170" s="9">
        <f>Source!AW68</f>
        <v>1</v>
      </c>
      <c r="I170" s="9">
        <f>IF(Source!BC68&lt;&gt;0,Source!BC68,1)</f>
        <v>1</v>
      </c>
      <c r="J170" s="31">
        <f>Source!P68</f>
        <v>8201.52</v>
      </c>
      <c r="K170" s="31"/>
    </row>
    <row r="171" spans="1:22" ht="42.75">
      <c r="A171" s="26" t="str">
        <f>Source!E69</f>
        <v>12,1</v>
      </c>
      <c r="B171" s="27" t="str">
        <f>Source!F69</f>
        <v>21.19-12-33</v>
      </c>
      <c r="C171" s="27" t="str">
        <f>Source!G69</f>
        <v>Средства крепления - кронштейн и подставка под оборудование из сортовой стали</v>
      </c>
      <c r="D171" s="28" t="str">
        <f>Source!H69</f>
        <v>кг</v>
      </c>
      <c r="E171" s="9">
        <f>Source!I69</f>
        <v>14</v>
      </c>
      <c r="F171" s="30">
        <f>Source!AK69</f>
        <v>98.44</v>
      </c>
      <c r="G171" s="32" t="s">
        <v>3</v>
      </c>
      <c r="H171" s="9">
        <f>Source!AW69</f>
        <v>1</v>
      </c>
      <c r="I171" s="9">
        <f>IF(Source!BC69&lt;&gt;0,Source!BC69,1)</f>
        <v>1</v>
      </c>
      <c r="J171" s="31">
        <f>Source!O69</f>
        <v>1378.16</v>
      </c>
      <c r="K171" s="31"/>
      <c r="Q171">
        <f>ROUND((Source!BZ69/100)*ROUND((Source!AF69*Source!AV69)*Source!I69,2),2)</f>
        <v>0</v>
      </c>
      <c r="R171">
        <f>Source!X69</f>
        <v>0</v>
      </c>
      <c r="S171">
        <f>ROUND((Source!CA69/100)*ROUND((Source!AF69*Source!AV69)*Source!I69,2),2)</f>
        <v>0</v>
      </c>
      <c r="T171">
        <f>Source!Y69</f>
        <v>0</v>
      </c>
      <c r="U171">
        <f>ROUND((175/100)*ROUND((Source!AE69*Source!AV69)*Source!I69,2),2)</f>
        <v>0</v>
      </c>
      <c r="V171">
        <f>ROUND((108/100)*ROUND(Source!CS69*Source!I69,2),2)</f>
        <v>0</v>
      </c>
    </row>
    <row r="172" spans="1:11" ht="14.25">
      <c r="A172" s="26"/>
      <c r="B172" s="27"/>
      <c r="C172" s="27" t="s">
        <v>479</v>
      </c>
      <c r="D172" s="28" t="s">
        <v>480</v>
      </c>
      <c r="E172" s="9">
        <f>Source!AT68</f>
        <v>70</v>
      </c>
      <c r="F172" s="30"/>
      <c r="G172" s="29"/>
      <c r="H172" s="9"/>
      <c r="I172" s="9"/>
      <c r="J172" s="31">
        <f>SUM(R166:R171)</f>
        <v>712.14</v>
      </c>
      <c r="K172" s="31"/>
    </row>
    <row r="173" spans="1:11" ht="14.25">
      <c r="A173" s="26"/>
      <c r="B173" s="27"/>
      <c r="C173" s="27" t="s">
        <v>481</v>
      </c>
      <c r="D173" s="28" t="s">
        <v>480</v>
      </c>
      <c r="E173" s="9">
        <f>Source!AU68</f>
        <v>10</v>
      </c>
      <c r="F173" s="30"/>
      <c r="G173" s="29"/>
      <c r="H173" s="9"/>
      <c r="I173" s="9"/>
      <c r="J173" s="31">
        <f>SUM(T166:T172)</f>
        <v>101.73</v>
      </c>
      <c r="K173" s="31"/>
    </row>
    <row r="174" spans="1:11" ht="14.25">
      <c r="A174" s="26"/>
      <c r="B174" s="27"/>
      <c r="C174" s="27" t="s">
        <v>486</v>
      </c>
      <c r="D174" s="28" t="s">
        <v>480</v>
      </c>
      <c r="E174" s="9">
        <f>108</f>
        <v>108</v>
      </c>
      <c r="F174" s="30"/>
      <c r="G174" s="29"/>
      <c r="H174" s="9"/>
      <c r="I174" s="9"/>
      <c r="J174" s="31">
        <f>SUM(V166:V173)</f>
        <v>2.22</v>
      </c>
      <c r="K174" s="31"/>
    </row>
    <row r="175" spans="1:11" ht="14.25">
      <c r="A175" s="26"/>
      <c r="B175" s="27"/>
      <c r="C175" s="27" t="s">
        <v>482</v>
      </c>
      <c r="D175" s="28" t="s">
        <v>483</v>
      </c>
      <c r="E175" s="9">
        <f>Source!AQ68</f>
        <v>2.85</v>
      </c>
      <c r="F175" s="30"/>
      <c r="G175" s="29">
        <f>Source!DI68</f>
      </c>
      <c r="H175" s="9">
        <f>Source!AV68</f>
        <v>1</v>
      </c>
      <c r="I175" s="9"/>
      <c r="J175" s="31"/>
      <c r="K175" s="31">
        <f>Source!U68</f>
        <v>5.7</v>
      </c>
    </row>
    <row r="176" spans="1:16" ht="15">
      <c r="A176" s="35"/>
      <c r="B176" s="35"/>
      <c r="C176" s="35"/>
      <c r="D176" s="35"/>
      <c r="E176" s="35"/>
      <c r="F176" s="35"/>
      <c r="G176" s="35"/>
      <c r="H176" s="35"/>
      <c r="I176" s="77">
        <f>J167+J168+J170+J172+J173+J174+SUM(J171:J171)</f>
        <v>11422.949999999999</v>
      </c>
      <c r="J176" s="77"/>
      <c r="K176" s="36">
        <f>IF(Source!I68&lt;&gt;0,ROUND(I176/Source!I68,2),0)</f>
        <v>5711.48</v>
      </c>
      <c r="P176" s="33">
        <f>I176</f>
        <v>11422.949999999999</v>
      </c>
    </row>
    <row r="177" spans="1:22" ht="57">
      <c r="A177" s="26" t="str">
        <f>Source!E70</f>
        <v>13</v>
      </c>
      <c r="B177" s="27" t="str">
        <f>Source!F70</f>
        <v>1.18-3203-9-8/1</v>
      </c>
      <c r="C177" s="27" t="str">
        <f>Source!G70</f>
        <v>Установка зонтов над шахтами из листовой стали прямоугольного сечения периметром 4000 мм (без стоимости креплений) (зонт 720х1440)</v>
      </c>
      <c r="D177" s="28" t="str">
        <f>Source!H70</f>
        <v>шт.</v>
      </c>
      <c r="E177" s="9">
        <f>Source!I70</f>
        <v>3</v>
      </c>
      <c r="F177" s="30"/>
      <c r="G177" s="29"/>
      <c r="H177" s="9"/>
      <c r="I177" s="9"/>
      <c r="J177" s="31"/>
      <c r="K177" s="31"/>
      <c r="Q177">
        <f>ROUND((Source!BZ70/100)*ROUND((Source!AF70*Source!AV70)*Source!I70,2),2)</f>
        <v>1340.41</v>
      </c>
      <c r="R177">
        <f>Source!X70</f>
        <v>1340.41</v>
      </c>
      <c r="S177">
        <f>ROUND((Source!CA70/100)*ROUND((Source!AF70*Source!AV70)*Source!I70,2),2)</f>
        <v>191.49</v>
      </c>
      <c r="T177">
        <f>Source!Y70</f>
        <v>191.49</v>
      </c>
      <c r="U177">
        <f>ROUND((175/100)*ROUND((Source!AE70*Source!AV70)*Source!I70,2),2)</f>
        <v>5.41</v>
      </c>
      <c r="V177">
        <f>ROUND((108/100)*ROUND(Source!CS70*Source!I70,2),2)</f>
        <v>3.34</v>
      </c>
    </row>
    <row r="178" spans="1:11" ht="14.25">
      <c r="A178" s="26"/>
      <c r="B178" s="27"/>
      <c r="C178" s="27" t="s">
        <v>476</v>
      </c>
      <c r="D178" s="28"/>
      <c r="E178" s="9"/>
      <c r="F178" s="30">
        <f>Source!AO70</f>
        <v>638.29</v>
      </c>
      <c r="G178" s="29">
        <f>Source!DG70</f>
      </c>
      <c r="H178" s="9">
        <f>Source!AV70</f>
        <v>1</v>
      </c>
      <c r="I178" s="9">
        <f>IF(Source!BA70&lt;&gt;0,Source!BA70,1)</f>
        <v>1</v>
      </c>
      <c r="J178" s="31">
        <f>Source!S70</f>
        <v>1914.87</v>
      </c>
      <c r="K178" s="31"/>
    </row>
    <row r="179" spans="1:11" ht="14.25">
      <c r="A179" s="26"/>
      <c r="B179" s="27"/>
      <c r="C179" s="27" t="s">
        <v>484</v>
      </c>
      <c r="D179" s="28"/>
      <c r="E179" s="9"/>
      <c r="F179" s="30">
        <f>Source!AM70</f>
        <v>4.92</v>
      </c>
      <c r="G179" s="29">
        <f>Source!DE70</f>
      </c>
      <c r="H179" s="9">
        <f>Source!AV70</f>
        <v>1</v>
      </c>
      <c r="I179" s="9">
        <f>IF(Source!BB70&lt;&gt;0,Source!BB70,1)</f>
        <v>1</v>
      </c>
      <c r="J179" s="31">
        <f>Source!Q70</f>
        <v>14.76</v>
      </c>
      <c r="K179" s="31"/>
    </row>
    <row r="180" spans="1:11" ht="14.25">
      <c r="A180" s="26"/>
      <c r="B180" s="27"/>
      <c r="C180" s="27" t="s">
        <v>485</v>
      </c>
      <c r="D180" s="28"/>
      <c r="E180" s="9"/>
      <c r="F180" s="30">
        <f>Source!AN70</f>
        <v>1.03</v>
      </c>
      <c r="G180" s="29">
        <f>Source!DF70</f>
      </c>
      <c r="H180" s="9">
        <f>Source!AV70</f>
        <v>1</v>
      </c>
      <c r="I180" s="9">
        <f>IF(Source!BS70&lt;&gt;0,Source!BS70,1)</f>
        <v>1</v>
      </c>
      <c r="J180" s="37">
        <f>Source!R70</f>
        <v>3.09</v>
      </c>
      <c r="K180" s="31"/>
    </row>
    <row r="181" spans="1:11" ht="14.25">
      <c r="A181" s="26"/>
      <c r="B181" s="27"/>
      <c r="C181" s="27" t="s">
        <v>477</v>
      </c>
      <c r="D181" s="28"/>
      <c r="E181" s="9"/>
      <c r="F181" s="30">
        <f>Source!AL70</f>
        <v>4516.42</v>
      </c>
      <c r="G181" s="29">
        <f>Source!DD70</f>
      </c>
      <c r="H181" s="9">
        <f>Source!AW70</f>
        <v>1</v>
      </c>
      <c r="I181" s="9">
        <f>IF(Source!BC70&lt;&gt;0,Source!BC70,1)</f>
        <v>1</v>
      </c>
      <c r="J181" s="31">
        <f>Source!P70</f>
        <v>13549.26</v>
      </c>
      <c r="K181" s="31"/>
    </row>
    <row r="182" spans="1:22" ht="42.75">
      <c r="A182" s="26" t="str">
        <f>Source!E71</f>
        <v>13,1</v>
      </c>
      <c r="B182" s="27" t="str">
        <f>Source!F71</f>
        <v>21.19-12-33</v>
      </c>
      <c r="C182" s="27" t="str">
        <f>Source!G71</f>
        <v>Средства крепления - кронштейн и подставка под оборудование из сортовой стали</v>
      </c>
      <c r="D182" s="28" t="str">
        <f>Source!H71</f>
        <v>кг</v>
      </c>
      <c r="E182" s="9">
        <f>Source!I71</f>
        <v>21</v>
      </c>
      <c r="F182" s="30">
        <f>Source!AK71</f>
        <v>98.44</v>
      </c>
      <c r="G182" s="32" t="s">
        <v>3</v>
      </c>
      <c r="H182" s="9">
        <f>Source!AW71</f>
        <v>1</v>
      </c>
      <c r="I182" s="9">
        <f>IF(Source!BC71&lt;&gt;0,Source!BC71,1)</f>
        <v>1</v>
      </c>
      <c r="J182" s="31">
        <f>Source!O71</f>
        <v>2067.24</v>
      </c>
      <c r="K182" s="31"/>
      <c r="Q182">
        <f>ROUND((Source!BZ71/100)*ROUND((Source!AF71*Source!AV71)*Source!I71,2),2)</f>
        <v>0</v>
      </c>
      <c r="R182">
        <f>Source!X71</f>
        <v>0</v>
      </c>
      <c r="S182">
        <f>ROUND((Source!CA71/100)*ROUND((Source!AF71*Source!AV71)*Source!I71,2),2)</f>
        <v>0</v>
      </c>
      <c r="T182">
        <f>Source!Y71</f>
        <v>0</v>
      </c>
      <c r="U182">
        <f>ROUND((175/100)*ROUND((Source!AE71*Source!AV71)*Source!I71,2),2)</f>
        <v>0</v>
      </c>
      <c r="V182">
        <f>ROUND((108/100)*ROUND(Source!CS71*Source!I71,2),2)</f>
        <v>0</v>
      </c>
    </row>
    <row r="183" spans="1:11" ht="14.25">
      <c r="A183" s="26"/>
      <c r="B183" s="27"/>
      <c r="C183" s="27" t="s">
        <v>479</v>
      </c>
      <c r="D183" s="28" t="s">
        <v>480</v>
      </c>
      <c r="E183" s="9">
        <f>Source!AT70</f>
        <v>70</v>
      </c>
      <c r="F183" s="30"/>
      <c r="G183" s="29"/>
      <c r="H183" s="9"/>
      <c r="I183" s="9"/>
      <c r="J183" s="31">
        <f>SUM(R177:R182)</f>
        <v>1340.41</v>
      </c>
      <c r="K183" s="31"/>
    </row>
    <row r="184" spans="1:11" ht="14.25">
      <c r="A184" s="26"/>
      <c r="B184" s="27"/>
      <c r="C184" s="27" t="s">
        <v>481</v>
      </c>
      <c r="D184" s="28" t="s">
        <v>480</v>
      </c>
      <c r="E184" s="9">
        <f>Source!AU70</f>
        <v>10</v>
      </c>
      <c r="F184" s="30"/>
      <c r="G184" s="29"/>
      <c r="H184" s="9"/>
      <c r="I184" s="9"/>
      <c r="J184" s="31">
        <f>SUM(T177:T183)</f>
        <v>191.49</v>
      </c>
      <c r="K184" s="31"/>
    </row>
    <row r="185" spans="1:11" ht="14.25">
      <c r="A185" s="26"/>
      <c r="B185" s="27"/>
      <c r="C185" s="27" t="s">
        <v>486</v>
      </c>
      <c r="D185" s="28" t="s">
        <v>480</v>
      </c>
      <c r="E185" s="9">
        <f>108</f>
        <v>108</v>
      </c>
      <c r="F185" s="30"/>
      <c r="G185" s="29"/>
      <c r="H185" s="9"/>
      <c r="I185" s="9"/>
      <c r="J185" s="31">
        <f>SUM(V177:V184)</f>
        <v>3.34</v>
      </c>
      <c r="K185" s="31"/>
    </row>
    <row r="186" spans="1:11" ht="14.25">
      <c r="A186" s="26"/>
      <c r="B186" s="27"/>
      <c r="C186" s="27" t="s">
        <v>482</v>
      </c>
      <c r="D186" s="28" t="s">
        <v>483</v>
      </c>
      <c r="E186" s="9">
        <f>Source!AQ70</f>
        <v>3.5</v>
      </c>
      <c r="F186" s="30"/>
      <c r="G186" s="29">
        <f>Source!DI70</f>
      </c>
      <c r="H186" s="9">
        <f>Source!AV70</f>
        <v>1</v>
      </c>
      <c r="I186" s="9"/>
      <c r="J186" s="31"/>
      <c r="K186" s="31">
        <f>Source!U70</f>
        <v>10.5</v>
      </c>
    </row>
    <row r="187" spans="1:16" ht="15">
      <c r="A187" s="35"/>
      <c r="B187" s="35"/>
      <c r="C187" s="35"/>
      <c r="D187" s="35"/>
      <c r="E187" s="35"/>
      <c r="F187" s="35"/>
      <c r="G187" s="35"/>
      <c r="H187" s="35"/>
      <c r="I187" s="77">
        <f>J178+J179+J181+J183+J184+J185+SUM(J182:J182)</f>
        <v>19081.370000000003</v>
      </c>
      <c r="J187" s="77"/>
      <c r="K187" s="36">
        <f>IF(Source!I70&lt;&gt;0,ROUND(I187/Source!I70,2),0)</f>
        <v>6360.46</v>
      </c>
      <c r="P187" s="33">
        <f>I187</f>
        <v>19081.370000000003</v>
      </c>
    </row>
    <row r="188" spans="1:22" ht="57">
      <c r="A188" s="26" t="str">
        <f>Source!E72</f>
        <v>14</v>
      </c>
      <c r="B188" s="27" t="str">
        <f>Source!F72</f>
        <v>1.18-3203-9-8/1</v>
      </c>
      <c r="C188" s="27" t="str">
        <f>Source!G72</f>
        <v>Установка зонтов над шахтами из листовой стали прямоугольного сечения периметром 4000 мм (без стоимости креплений) (зонт 720х1800)</v>
      </c>
      <c r="D188" s="28" t="str">
        <f>Source!H72</f>
        <v>шт.</v>
      </c>
      <c r="E188" s="9">
        <f>Source!I72</f>
        <v>10</v>
      </c>
      <c r="F188" s="30"/>
      <c r="G188" s="29"/>
      <c r="H188" s="9"/>
      <c r="I188" s="9"/>
      <c r="J188" s="31"/>
      <c r="K188" s="31"/>
      <c r="Q188">
        <f>ROUND((Source!BZ72/100)*ROUND((Source!AF72*Source!AV72)*Source!I72,2),2)</f>
        <v>4468.03</v>
      </c>
      <c r="R188">
        <f>Source!X72</f>
        <v>4468.03</v>
      </c>
      <c r="S188">
        <f>ROUND((Source!CA72/100)*ROUND((Source!AF72*Source!AV72)*Source!I72,2),2)</f>
        <v>638.29</v>
      </c>
      <c r="T188">
        <f>Source!Y72</f>
        <v>638.29</v>
      </c>
      <c r="U188">
        <f>ROUND((175/100)*ROUND((Source!AE72*Source!AV72)*Source!I72,2),2)</f>
        <v>18.03</v>
      </c>
      <c r="V188">
        <f>ROUND((108/100)*ROUND(Source!CS72*Source!I72,2),2)</f>
        <v>11.12</v>
      </c>
    </row>
    <row r="189" spans="1:11" ht="14.25">
      <c r="A189" s="26"/>
      <c r="B189" s="27"/>
      <c r="C189" s="27" t="s">
        <v>476</v>
      </c>
      <c r="D189" s="28"/>
      <c r="E189" s="9"/>
      <c r="F189" s="30">
        <f>Source!AO72</f>
        <v>638.29</v>
      </c>
      <c r="G189" s="29">
        <f>Source!DG72</f>
      </c>
      <c r="H189" s="9">
        <f>Source!AV72</f>
        <v>1</v>
      </c>
      <c r="I189" s="9">
        <f>IF(Source!BA72&lt;&gt;0,Source!BA72,1)</f>
        <v>1</v>
      </c>
      <c r="J189" s="31">
        <f>Source!S72</f>
        <v>6382.9</v>
      </c>
      <c r="K189" s="31"/>
    </row>
    <row r="190" spans="1:11" ht="14.25">
      <c r="A190" s="26"/>
      <c r="B190" s="27"/>
      <c r="C190" s="27" t="s">
        <v>484</v>
      </c>
      <c r="D190" s="28"/>
      <c r="E190" s="9"/>
      <c r="F190" s="30">
        <f>Source!AM72</f>
        <v>4.92</v>
      </c>
      <c r="G190" s="29">
        <f>Source!DE72</f>
      </c>
      <c r="H190" s="9">
        <f>Source!AV72</f>
        <v>1</v>
      </c>
      <c r="I190" s="9">
        <f>IF(Source!BB72&lt;&gt;0,Source!BB72,1)</f>
        <v>1</v>
      </c>
      <c r="J190" s="31">
        <f>Source!Q72</f>
        <v>49.2</v>
      </c>
      <c r="K190" s="31"/>
    </row>
    <row r="191" spans="1:11" ht="14.25">
      <c r="A191" s="26"/>
      <c r="B191" s="27"/>
      <c r="C191" s="27" t="s">
        <v>485</v>
      </c>
      <c r="D191" s="28"/>
      <c r="E191" s="9"/>
      <c r="F191" s="30">
        <f>Source!AN72</f>
        <v>1.03</v>
      </c>
      <c r="G191" s="29">
        <f>Source!DF72</f>
      </c>
      <c r="H191" s="9">
        <f>Source!AV72</f>
        <v>1</v>
      </c>
      <c r="I191" s="9">
        <f>IF(Source!BS72&lt;&gt;0,Source!BS72,1)</f>
        <v>1</v>
      </c>
      <c r="J191" s="37">
        <f>Source!R72</f>
        <v>10.3</v>
      </c>
      <c r="K191" s="31"/>
    </row>
    <row r="192" spans="1:11" ht="14.25">
      <c r="A192" s="26"/>
      <c r="B192" s="27"/>
      <c r="C192" s="27" t="s">
        <v>477</v>
      </c>
      <c r="D192" s="28"/>
      <c r="E192" s="9"/>
      <c r="F192" s="30">
        <f>Source!AL72</f>
        <v>4516.42</v>
      </c>
      <c r="G192" s="29">
        <f>Source!DD72</f>
      </c>
      <c r="H192" s="9">
        <f>Source!AW72</f>
        <v>1</v>
      </c>
      <c r="I192" s="9">
        <f>IF(Source!BC72&lt;&gt;0,Source!BC72,1)</f>
        <v>1</v>
      </c>
      <c r="J192" s="31">
        <f>Source!P72</f>
        <v>45164.2</v>
      </c>
      <c r="K192" s="31"/>
    </row>
    <row r="193" spans="1:22" ht="42.75">
      <c r="A193" s="26" t="str">
        <f>Source!E73</f>
        <v>14,1</v>
      </c>
      <c r="B193" s="27" t="str">
        <f>Source!F73</f>
        <v>21.19-12-33</v>
      </c>
      <c r="C193" s="27" t="str">
        <f>Source!G73</f>
        <v>Средства крепления - кронштейн и подставка под оборудование из сортовой стали</v>
      </c>
      <c r="D193" s="28" t="str">
        <f>Source!H73</f>
        <v>кг</v>
      </c>
      <c r="E193" s="9">
        <f>Source!I73</f>
        <v>71</v>
      </c>
      <c r="F193" s="30">
        <f>Source!AK73</f>
        <v>98.44</v>
      </c>
      <c r="G193" s="32" t="s">
        <v>3</v>
      </c>
      <c r="H193" s="9">
        <f>Source!AW73</f>
        <v>1</v>
      </c>
      <c r="I193" s="9">
        <f>IF(Source!BC73&lt;&gt;0,Source!BC73,1)</f>
        <v>1</v>
      </c>
      <c r="J193" s="31">
        <f>Source!O73</f>
        <v>6989.24</v>
      </c>
      <c r="K193" s="31"/>
      <c r="Q193">
        <f>ROUND((Source!BZ73/100)*ROUND((Source!AF73*Source!AV73)*Source!I73,2),2)</f>
        <v>0</v>
      </c>
      <c r="R193">
        <f>Source!X73</f>
        <v>0</v>
      </c>
      <c r="S193">
        <f>ROUND((Source!CA73/100)*ROUND((Source!AF73*Source!AV73)*Source!I73,2),2)</f>
        <v>0</v>
      </c>
      <c r="T193">
        <f>Source!Y73</f>
        <v>0</v>
      </c>
      <c r="U193">
        <f>ROUND((175/100)*ROUND((Source!AE73*Source!AV73)*Source!I73,2),2)</f>
        <v>0</v>
      </c>
      <c r="V193">
        <f>ROUND((108/100)*ROUND(Source!CS73*Source!I73,2),2)</f>
        <v>0</v>
      </c>
    </row>
    <row r="194" spans="1:11" ht="14.25">
      <c r="A194" s="26"/>
      <c r="B194" s="27"/>
      <c r="C194" s="27" t="s">
        <v>479</v>
      </c>
      <c r="D194" s="28" t="s">
        <v>480</v>
      </c>
      <c r="E194" s="9">
        <f>Source!AT72</f>
        <v>70</v>
      </c>
      <c r="F194" s="30"/>
      <c r="G194" s="29"/>
      <c r="H194" s="9"/>
      <c r="I194" s="9"/>
      <c r="J194" s="31">
        <f>SUM(R188:R193)</f>
        <v>4468.03</v>
      </c>
      <c r="K194" s="31"/>
    </row>
    <row r="195" spans="1:11" ht="14.25">
      <c r="A195" s="26"/>
      <c r="B195" s="27"/>
      <c r="C195" s="27" t="s">
        <v>481</v>
      </c>
      <c r="D195" s="28" t="s">
        <v>480</v>
      </c>
      <c r="E195" s="9">
        <f>Source!AU72</f>
        <v>10</v>
      </c>
      <c r="F195" s="30"/>
      <c r="G195" s="29"/>
      <c r="H195" s="9"/>
      <c r="I195" s="9"/>
      <c r="J195" s="31">
        <f>SUM(T188:T194)</f>
        <v>638.29</v>
      </c>
      <c r="K195" s="31"/>
    </row>
    <row r="196" spans="1:11" ht="14.25">
      <c r="A196" s="26"/>
      <c r="B196" s="27"/>
      <c r="C196" s="27" t="s">
        <v>486</v>
      </c>
      <c r="D196" s="28" t="s">
        <v>480</v>
      </c>
      <c r="E196" s="9">
        <f>108</f>
        <v>108</v>
      </c>
      <c r="F196" s="30"/>
      <c r="G196" s="29"/>
      <c r="H196" s="9"/>
      <c r="I196" s="9"/>
      <c r="J196" s="31">
        <f>SUM(V188:V195)</f>
        <v>11.12</v>
      </c>
      <c r="K196" s="31"/>
    </row>
    <row r="197" spans="1:11" ht="14.25">
      <c r="A197" s="26"/>
      <c r="B197" s="27"/>
      <c r="C197" s="27" t="s">
        <v>482</v>
      </c>
      <c r="D197" s="28" t="s">
        <v>483</v>
      </c>
      <c r="E197" s="9">
        <f>Source!AQ72</f>
        <v>3.5</v>
      </c>
      <c r="F197" s="30"/>
      <c r="G197" s="29">
        <f>Source!DI72</f>
      </c>
      <c r="H197" s="9">
        <f>Source!AV72</f>
        <v>1</v>
      </c>
      <c r="I197" s="9"/>
      <c r="J197" s="31"/>
      <c r="K197" s="31">
        <f>Source!U72</f>
        <v>35</v>
      </c>
    </row>
    <row r="198" spans="1:16" ht="15">
      <c r="A198" s="35"/>
      <c r="B198" s="35"/>
      <c r="C198" s="35"/>
      <c r="D198" s="35"/>
      <c r="E198" s="35"/>
      <c r="F198" s="35"/>
      <c r="G198" s="35"/>
      <c r="H198" s="35"/>
      <c r="I198" s="77">
        <f>J189+J190+J192+J194+J195+J196+SUM(J193:J193)</f>
        <v>63702.979999999996</v>
      </c>
      <c r="J198" s="77"/>
      <c r="K198" s="36">
        <f>IF(Source!I72&lt;&gt;0,ROUND(I198/Source!I72,2),0)</f>
        <v>6370.3</v>
      </c>
      <c r="P198" s="33">
        <f>I198</f>
        <v>63702.979999999996</v>
      </c>
    </row>
    <row r="199" spans="1:22" ht="57">
      <c r="A199" s="26" t="str">
        <f>Source!E74</f>
        <v>15</v>
      </c>
      <c r="B199" s="27" t="str">
        <f>Source!F74</f>
        <v>1.18-3203-9-8/1</v>
      </c>
      <c r="C199" s="27" t="str">
        <f>Source!G74</f>
        <v>Установка зонтов над шахтами из листовой стали прямоугольного сечения периметром 4000 мм (без стоимости креплений) (зонт 720х2160)</v>
      </c>
      <c r="D199" s="28" t="str">
        <f>Source!H74</f>
        <v>шт.</v>
      </c>
      <c r="E199" s="9">
        <f>Source!I74</f>
        <v>6</v>
      </c>
      <c r="F199" s="30"/>
      <c r="G199" s="29"/>
      <c r="H199" s="9"/>
      <c r="I199" s="9"/>
      <c r="J199" s="31"/>
      <c r="K199" s="31"/>
      <c r="Q199">
        <f>ROUND((Source!BZ74/100)*ROUND((Source!AF74*Source!AV74)*Source!I74,2),2)</f>
        <v>2680.82</v>
      </c>
      <c r="R199">
        <f>Source!X74</f>
        <v>2680.82</v>
      </c>
      <c r="S199">
        <f>ROUND((Source!CA74/100)*ROUND((Source!AF74*Source!AV74)*Source!I74,2),2)</f>
        <v>382.97</v>
      </c>
      <c r="T199">
        <f>Source!Y74</f>
        <v>382.97</v>
      </c>
      <c r="U199">
        <f>ROUND((175/100)*ROUND((Source!AE74*Source!AV74)*Source!I74,2),2)</f>
        <v>10.82</v>
      </c>
      <c r="V199">
        <f>ROUND((108/100)*ROUND(Source!CS74*Source!I74,2),2)</f>
        <v>6.67</v>
      </c>
    </row>
    <row r="200" spans="1:11" ht="14.25">
      <c r="A200" s="26"/>
      <c r="B200" s="27"/>
      <c r="C200" s="27" t="s">
        <v>476</v>
      </c>
      <c r="D200" s="28"/>
      <c r="E200" s="9"/>
      <c r="F200" s="30">
        <f>Source!AO74</f>
        <v>638.29</v>
      </c>
      <c r="G200" s="29">
        <f>Source!DG74</f>
      </c>
      <c r="H200" s="9">
        <f>Source!AV74</f>
        <v>1</v>
      </c>
      <c r="I200" s="9">
        <f>IF(Source!BA74&lt;&gt;0,Source!BA74,1)</f>
        <v>1</v>
      </c>
      <c r="J200" s="31">
        <f>Source!S74</f>
        <v>3829.74</v>
      </c>
      <c r="K200" s="31"/>
    </row>
    <row r="201" spans="1:11" ht="14.25">
      <c r="A201" s="26"/>
      <c r="B201" s="27"/>
      <c r="C201" s="27" t="s">
        <v>484</v>
      </c>
      <c r="D201" s="28"/>
      <c r="E201" s="9"/>
      <c r="F201" s="30">
        <f>Source!AM74</f>
        <v>4.92</v>
      </c>
      <c r="G201" s="29">
        <f>Source!DE74</f>
      </c>
      <c r="H201" s="9">
        <f>Source!AV74</f>
        <v>1</v>
      </c>
      <c r="I201" s="9">
        <f>IF(Source!BB74&lt;&gt;0,Source!BB74,1)</f>
        <v>1</v>
      </c>
      <c r="J201" s="31">
        <f>Source!Q74</f>
        <v>29.52</v>
      </c>
      <c r="K201" s="31"/>
    </row>
    <row r="202" spans="1:11" ht="14.25">
      <c r="A202" s="26"/>
      <c r="B202" s="27"/>
      <c r="C202" s="27" t="s">
        <v>485</v>
      </c>
      <c r="D202" s="28"/>
      <c r="E202" s="9"/>
      <c r="F202" s="30">
        <f>Source!AN74</f>
        <v>1.03</v>
      </c>
      <c r="G202" s="29">
        <f>Source!DF74</f>
      </c>
      <c r="H202" s="9">
        <f>Source!AV74</f>
        <v>1</v>
      </c>
      <c r="I202" s="9">
        <f>IF(Source!BS74&lt;&gt;0,Source!BS74,1)</f>
        <v>1</v>
      </c>
      <c r="J202" s="37">
        <f>Source!R74</f>
        <v>6.18</v>
      </c>
      <c r="K202" s="31"/>
    </row>
    <row r="203" spans="1:11" ht="14.25">
      <c r="A203" s="26"/>
      <c r="B203" s="27"/>
      <c r="C203" s="27" t="s">
        <v>477</v>
      </c>
      <c r="D203" s="28"/>
      <c r="E203" s="9"/>
      <c r="F203" s="30">
        <f>Source!AL74</f>
        <v>4516.42</v>
      </c>
      <c r="G203" s="29">
        <f>Source!DD74</f>
      </c>
      <c r="H203" s="9">
        <f>Source!AW74</f>
        <v>1</v>
      </c>
      <c r="I203" s="9">
        <f>IF(Source!BC74&lt;&gt;0,Source!BC74,1)</f>
        <v>1</v>
      </c>
      <c r="J203" s="31">
        <f>Source!P74</f>
        <v>27098.52</v>
      </c>
      <c r="K203" s="31"/>
    </row>
    <row r="204" spans="1:22" ht="42.75">
      <c r="A204" s="26" t="str">
        <f>Source!E75</f>
        <v>15,1</v>
      </c>
      <c r="B204" s="27" t="str">
        <f>Source!F75</f>
        <v>21.19-12-33</v>
      </c>
      <c r="C204" s="27" t="str">
        <f>Source!G75</f>
        <v>Средства крепления - кронштейн и подставка под оборудование из сортовой стали</v>
      </c>
      <c r="D204" s="28" t="str">
        <f>Source!H75</f>
        <v>кг</v>
      </c>
      <c r="E204" s="9">
        <f>Source!I75</f>
        <v>42.6</v>
      </c>
      <c r="F204" s="30">
        <f>Source!AK75</f>
        <v>98.44</v>
      </c>
      <c r="G204" s="32" t="s">
        <v>3</v>
      </c>
      <c r="H204" s="9">
        <f>Source!AW75</f>
        <v>1</v>
      </c>
      <c r="I204" s="9">
        <f>IF(Source!BC75&lt;&gt;0,Source!BC75,1)</f>
        <v>1</v>
      </c>
      <c r="J204" s="31">
        <f>Source!O75</f>
        <v>4193.54</v>
      </c>
      <c r="K204" s="31"/>
      <c r="Q204">
        <f>ROUND((Source!BZ75/100)*ROUND((Source!AF75*Source!AV75)*Source!I75,2),2)</f>
        <v>0</v>
      </c>
      <c r="R204">
        <f>Source!X75</f>
        <v>0</v>
      </c>
      <c r="S204">
        <f>ROUND((Source!CA75/100)*ROUND((Source!AF75*Source!AV75)*Source!I75,2),2)</f>
        <v>0</v>
      </c>
      <c r="T204">
        <f>Source!Y75</f>
        <v>0</v>
      </c>
      <c r="U204">
        <f>ROUND((175/100)*ROUND((Source!AE75*Source!AV75)*Source!I75,2),2)</f>
        <v>0</v>
      </c>
      <c r="V204">
        <f>ROUND((108/100)*ROUND(Source!CS75*Source!I75,2),2)</f>
        <v>0</v>
      </c>
    </row>
    <row r="205" spans="1:11" ht="14.25">
      <c r="A205" s="26"/>
      <c r="B205" s="27"/>
      <c r="C205" s="27" t="s">
        <v>479</v>
      </c>
      <c r="D205" s="28" t="s">
        <v>480</v>
      </c>
      <c r="E205" s="9">
        <f>Source!AT74</f>
        <v>70</v>
      </c>
      <c r="F205" s="30"/>
      <c r="G205" s="29"/>
      <c r="H205" s="9"/>
      <c r="I205" s="9"/>
      <c r="J205" s="31">
        <f>SUM(R199:R204)</f>
        <v>2680.82</v>
      </c>
      <c r="K205" s="31"/>
    </row>
    <row r="206" spans="1:11" ht="14.25">
      <c r="A206" s="26"/>
      <c r="B206" s="27"/>
      <c r="C206" s="27" t="s">
        <v>481</v>
      </c>
      <c r="D206" s="28" t="s">
        <v>480</v>
      </c>
      <c r="E206" s="9">
        <f>Source!AU74</f>
        <v>10</v>
      </c>
      <c r="F206" s="30"/>
      <c r="G206" s="29"/>
      <c r="H206" s="9"/>
      <c r="I206" s="9"/>
      <c r="J206" s="31">
        <f>SUM(T199:T205)</f>
        <v>382.97</v>
      </c>
      <c r="K206" s="31"/>
    </row>
    <row r="207" spans="1:11" ht="14.25">
      <c r="A207" s="26"/>
      <c r="B207" s="27"/>
      <c r="C207" s="27" t="s">
        <v>486</v>
      </c>
      <c r="D207" s="28" t="s">
        <v>480</v>
      </c>
      <c r="E207" s="9">
        <f>108</f>
        <v>108</v>
      </c>
      <c r="F207" s="30"/>
      <c r="G207" s="29"/>
      <c r="H207" s="9"/>
      <c r="I207" s="9"/>
      <c r="J207" s="31">
        <f>SUM(V199:V206)</f>
        <v>6.67</v>
      </c>
      <c r="K207" s="31"/>
    </row>
    <row r="208" spans="1:11" ht="14.25">
      <c r="A208" s="26"/>
      <c r="B208" s="27"/>
      <c r="C208" s="27" t="s">
        <v>482</v>
      </c>
      <c r="D208" s="28" t="s">
        <v>483</v>
      </c>
      <c r="E208" s="9">
        <f>Source!AQ74</f>
        <v>3.5</v>
      </c>
      <c r="F208" s="30"/>
      <c r="G208" s="29">
        <f>Source!DI74</f>
      </c>
      <c r="H208" s="9">
        <f>Source!AV74</f>
        <v>1</v>
      </c>
      <c r="I208" s="9"/>
      <c r="J208" s="31"/>
      <c r="K208" s="31">
        <f>Source!U74</f>
        <v>21</v>
      </c>
    </row>
    <row r="209" spans="1:16" ht="15">
      <c r="A209" s="35"/>
      <c r="B209" s="35"/>
      <c r="C209" s="35"/>
      <c r="D209" s="35"/>
      <c r="E209" s="35"/>
      <c r="F209" s="35"/>
      <c r="G209" s="35"/>
      <c r="H209" s="35"/>
      <c r="I209" s="77">
        <f>J200+J201+J203+J205+J206+J207+SUM(J204:J204)</f>
        <v>38221.78</v>
      </c>
      <c r="J209" s="77"/>
      <c r="K209" s="36">
        <f>IF(Source!I74&lt;&gt;0,ROUND(I209/Source!I74,2),0)</f>
        <v>6370.3</v>
      </c>
      <c r="P209" s="33">
        <f>I209</f>
        <v>38221.78</v>
      </c>
    </row>
    <row r="210" spans="1:22" ht="57">
      <c r="A210" s="26" t="str">
        <f>Source!E76</f>
        <v>16</v>
      </c>
      <c r="B210" s="27" t="str">
        <f>Source!F76</f>
        <v>1.18-3403-1-1/1</v>
      </c>
      <c r="C210" s="27" t="str">
        <f>Source!G76</f>
        <v>Установка камер приточных типовых без секции орошения и установок приточных производительностью до 10 тыс.м3/час (без стоимости камеры)</v>
      </c>
      <c r="D210" s="28" t="str">
        <f>Source!H76</f>
        <v>компл.</v>
      </c>
      <c r="E210" s="9">
        <f>Source!I76</f>
        <v>1</v>
      </c>
      <c r="F210" s="30"/>
      <c r="G210" s="29"/>
      <c r="H210" s="9"/>
      <c r="I210" s="9"/>
      <c r="J210" s="31"/>
      <c r="K210" s="31"/>
      <c r="Q210">
        <f>ROUND((Source!BZ76/100)*ROUND((Source!AF76*Source!AV76)*Source!I76,2),2)</f>
        <v>6138.8</v>
      </c>
      <c r="R210">
        <f>Source!X76</f>
        <v>6138.8</v>
      </c>
      <c r="S210">
        <f>ROUND((Source!CA76/100)*ROUND((Source!AF76*Source!AV76)*Source!I76,2),2)</f>
        <v>876.97</v>
      </c>
      <c r="T210">
        <f>Source!Y76</f>
        <v>876.97</v>
      </c>
      <c r="U210">
        <f>ROUND((175/100)*ROUND((Source!AE76*Source!AV76)*Source!I76,2),2)</f>
        <v>21.7</v>
      </c>
      <c r="V210">
        <f>ROUND((108/100)*ROUND(Source!CS76*Source!I76,2),2)</f>
        <v>13.39</v>
      </c>
    </row>
    <row r="211" spans="1:11" ht="14.25">
      <c r="A211" s="26"/>
      <c r="B211" s="27"/>
      <c r="C211" s="27" t="s">
        <v>476</v>
      </c>
      <c r="D211" s="28"/>
      <c r="E211" s="9"/>
      <c r="F211" s="30">
        <f>Source!AO76</f>
        <v>8769.72</v>
      </c>
      <c r="G211" s="29">
        <f>Source!DG76</f>
      </c>
      <c r="H211" s="9">
        <f>Source!AV76</f>
        <v>1</v>
      </c>
      <c r="I211" s="9">
        <f>IF(Source!BA76&lt;&gt;0,Source!BA76,1)</f>
        <v>1</v>
      </c>
      <c r="J211" s="31">
        <f>Source!S76</f>
        <v>8769.72</v>
      </c>
      <c r="K211" s="31"/>
    </row>
    <row r="212" spans="1:11" ht="14.25">
      <c r="A212" s="26"/>
      <c r="B212" s="27"/>
      <c r="C212" s="27" t="s">
        <v>484</v>
      </c>
      <c r="D212" s="28"/>
      <c r="E212" s="9"/>
      <c r="F212" s="30">
        <f>Source!AM76</f>
        <v>59.4</v>
      </c>
      <c r="G212" s="29">
        <f>Source!DE76</f>
      </c>
      <c r="H212" s="9">
        <f>Source!AV76</f>
        <v>1</v>
      </c>
      <c r="I212" s="9">
        <f>IF(Source!BB76&lt;&gt;0,Source!BB76,1)</f>
        <v>1</v>
      </c>
      <c r="J212" s="31">
        <f>Source!Q76</f>
        <v>59.4</v>
      </c>
      <c r="K212" s="31"/>
    </row>
    <row r="213" spans="1:11" ht="14.25">
      <c r="A213" s="26"/>
      <c r="B213" s="27"/>
      <c r="C213" s="27" t="s">
        <v>485</v>
      </c>
      <c r="D213" s="28"/>
      <c r="E213" s="9"/>
      <c r="F213" s="30">
        <f>Source!AN76</f>
        <v>12.4</v>
      </c>
      <c r="G213" s="29">
        <f>Source!DF76</f>
      </c>
      <c r="H213" s="9">
        <f>Source!AV76</f>
        <v>1</v>
      </c>
      <c r="I213" s="9">
        <f>IF(Source!BS76&lt;&gt;0,Source!BS76,1)</f>
        <v>1</v>
      </c>
      <c r="J213" s="37">
        <f>Source!R76</f>
        <v>12.4</v>
      </c>
      <c r="K213" s="31"/>
    </row>
    <row r="214" spans="1:11" ht="14.25">
      <c r="A214" s="26"/>
      <c r="B214" s="27"/>
      <c r="C214" s="27" t="s">
        <v>477</v>
      </c>
      <c r="D214" s="28"/>
      <c r="E214" s="9"/>
      <c r="F214" s="30">
        <f>Source!AL76</f>
        <v>1331.01</v>
      </c>
      <c r="G214" s="29">
        <f>Source!DD76</f>
      </c>
      <c r="H214" s="9">
        <f>Source!AW76</f>
        <v>1</v>
      </c>
      <c r="I214" s="9">
        <f>IF(Source!BC76&lt;&gt;0,Source!BC76,1)</f>
        <v>1</v>
      </c>
      <c r="J214" s="31">
        <f>Source!P76</f>
        <v>1331.01</v>
      </c>
      <c r="K214" s="31"/>
    </row>
    <row r="215" spans="1:22" ht="68.25">
      <c r="A215" s="26" t="str">
        <f>Source!E77</f>
        <v>16,1</v>
      </c>
      <c r="B215" s="27" t="str">
        <f>Source!F77</f>
        <v>цена поставщика Том1. п.18</v>
      </c>
      <c r="C215" s="27" t="s">
        <v>491</v>
      </c>
      <c r="D215" s="28" t="str">
        <f>Source!H77</f>
        <v>ШТ</v>
      </c>
      <c r="E215" s="9">
        <f>Source!I77</f>
        <v>1</v>
      </c>
      <c r="F215" s="30">
        <f>Source!AK77</f>
        <v>31061.86</v>
      </c>
      <c r="G215" s="32" t="s">
        <v>3</v>
      </c>
      <c r="H215" s="9">
        <f>Source!AW77</f>
        <v>1</v>
      </c>
      <c r="I215" s="9">
        <f>IF(Source!BC77&lt;&gt;0,Source!BC77,1)</f>
        <v>1</v>
      </c>
      <c r="J215" s="31">
        <f>Source!O77</f>
        <v>31061.86</v>
      </c>
      <c r="K215" s="31"/>
      <c r="Q215">
        <f>ROUND((Source!BZ77/100)*ROUND((Source!AF77*Source!AV77)*Source!I77,2),2)</f>
        <v>0</v>
      </c>
      <c r="R215">
        <f>Source!X77</f>
        <v>0</v>
      </c>
      <c r="S215">
        <f>ROUND((Source!CA77/100)*ROUND((Source!AF77*Source!AV77)*Source!I77,2),2)</f>
        <v>0</v>
      </c>
      <c r="T215">
        <f>Source!Y77</f>
        <v>0</v>
      </c>
      <c r="U215">
        <f>ROUND((175/100)*ROUND((Source!AE77*Source!AV77)*Source!I77,2),2)</f>
        <v>0</v>
      </c>
      <c r="V215">
        <f>ROUND((108/100)*ROUND(Source!CS77*Source!I77,2),2)</f>
        <v>0</v>
      </c>
    </row>
    <row r="216" spans="1:11" ht="14.25">
      <c r="A216" s="26"/>
      <c r="B216" s="27"/>
      <c r="C216" s="27" t="s">
        <v>479</v>
      </c>
      <c r="D216" s="28" t="s">
        <v>480</v>
      </c>
      <c r="E216" s="9">
        <f>Source!AT76</f>
        <v>70</v>
      </c>
      <c r="F216" s="30"/>
      <c r="G216" s="29"/>
      <c r="H216" s="9"/>
      <c r="I216" s="9"/>
      <c r="J216" s="31">
        <f>SUM(R210:R215)</f>
        <v>6138.8</v>
      </c>
      <c r="K216" s="31"/>
    </row>
    <row r="217" spans="1:11" ht="14.25">
      <c r="A217" s="26"/>
      <c r="B217" s="27"/>
      <c r="C217" s="27" t="s">
        <v>481</v>
      </c>
      <c r="D217" s="28" t="s">
        <v>480</v>
      </c>
      <c r="E217" s="9">
        <f>Source!AU76</f>
        <v>10</v>
      </c>
      <c r="F217" s="30"/>
      <c r="G217" s="29"/>
      <c r="H217" s="9"/>
      <c r="I217" s="9"/>
      <c r="J217" s="31">
        <f>SUM(T210:T216)</f>
        <v>876.97</v>
      </c>
      <c r="K217" s="31"/>
    </row>
    <row r="218" spans="1:11" ht="14.25">
      <c r="A218" s="26"/>
      <c r="B218" s="27"/>
      <c r="C218" s="27" t="s">
        <v>486</v>
      </c>
      <c r="D218" s="28" t="s">
        <v>480</v>
      </c>
      <c r="E218" s="9">
        <f>108</f>
        <v>108</v>
      </c>
      <c r="F218" s="30"/>
      <c r="G218" s="29"/>
      <c r="H218" s="9"/>
      <c r="I218" s="9"/>
      <c r="J218" s="31">
        <f>SUM(V210:V217)</f>
        <v>13.39</v>
      </c>
      <c r="K218" s="31"/>
    </row>
    <row r="219" spans="1:11" ht="14.25">
      <c r="A219" s="26"/>
      <c r="B219" s="27"/>
      <c r="C219" s="27" t="s">
        <v>482</v>
      </c>
      <c r="D219" s="28" t="s">
        <v>483</v>
      </c>
      <c r="E219" s="9">
        <f>Source!AQ76</f>
        <v>46.12</v>
      </c>
      <c r="F219" s="30"/>
      <c r="G219" s="29">
        <f>Source!DI76</f>
      </c>
      <c r="H219" s="9">
        <f>Source!AV76</f>
        <v>1</v>
      </c>
      <c r="I219" s="9"/>
      <c r="J219" s="31"/>
      <c r="K219" s="31">
        <f>Source!U76</f>
        <v>46.12</v>
      </c>
    </row>
    <row r="220" spans="1:16" ht="15">
      <c r="A220" s="35"/>
      <c r="B220" s="35"/>
      <c r="C220" s="35"/>
      <c r="D220" s="35"/>
      <c r="E220" s="35"/>
      <c r="F220" s="35"/>
      <c r="G220" s="35"/>
      <c r="H220" s="35"/>
      <c r="I220" s="77">
        <f>J211+J212+J214+J216+J217+J218+SUM(J215:J215)</f>
        <v>48251.15</v>
      </c>
      <c r="J220" s="77"/>
      <c r="K220" s="36">
        <f>IF(Source!I76&lt;&gt;0,ROUND(I220/Source!I76,2),0)</f>
        <v>48251.15</v>
      </c>
      <c r="P220" s="33">
        <f>I220</f>
        <v>48251.15</v>
      </c>
    </row>
    <row r="221" spans="1:22" ht="71.25">
      <c r="A221" s="26" t="str">
        <f>Source!E78</f>
        <v>17</v>
      </c>
      <c r="B221" s="27" t="str">
        <f>Source!F78</f>
        <v>1.18-3203-5-6/1</v>
      </c>
      <c r="C221" s="27" t="str">
        <f>Source!G78</f>
        <v>Установка заслонок воздушных или клапанов воздушных КВР с электрическим или пневматическим приводами периметром до 1000 мм (без стоимости заслонок или клапанов)</v>
      </c>
      <c r="D221" s="28" t="str">
        <f>Source!H78</f>
        <v>шт.</v>
      </c>
      <c r="E221" s="9">
        <f>Source!I78</f>
        <v>1</v>
      </c>
      <c r="F221" s="30"/>
      <c r="G221" s="29"/>
      <c r="H221" s="9"/>
      <c r="I221" s="9"/>
      <c r="J221" s="31"/>
      <c r="K221" s="31"/>
      <c r="Q221">
        <f>ROUND((Source!BZ78/100)*ROUND((Source!AF78*Source!AV78)*Source!I78,2),2)</f>
        <v>203.64</v>
      </c>
      <c r="R221">
        <f>Source!X78</f>
        <v>203.64</v>
      </c>
      <c r="S221">
        <f>ROUND((Source!CA78/100)*ROUND((Source!AF78*Source!AV78)*Source!I78,2),2)</f>
        <v>29.09</v>
      </c>
      <c r="T221">
        <f>Source!Y78</f>
        <v>29.09</v>
      </c>
      <c r="U221">
        <f>ROUND((175/100)*ROUND((Source!AE78*Source!AV78)*Source!I78,2),2)</f>
        <v>0</v>
      </c>
      <c r="V221">
        <f>ROUND((108/100)*ROUND(Source!CS78*Source!I78,2),2)</f>
        <v>0</v>
      </c>
    </row>
    <row r="222" spans="1:11" ht="14.25">
      <c r="A222" s="26"/>
      <c r="B222" s="27"/>
      <c r="C222" s="27" t="s">
        <v>476</v>
      </c>
      <c r="D222" s="28"/>
      <c r="E222" s="9"/>
      <c r="F222" s="30">
        <f>Source!AO78</f>
        <v>290.92</v>
      </c>
      <c r="G222" s="29">
        <f>Source!DG78</f>
      </c>
      <c r="H222" s="9">
        <f>Source!AV78</f>
        <v>1</v>
      </c>
      <c r="I222" s="9">
        <f>IF(Source!BA78&lt;&gt;0,Source!BA78,1)</f>
        <v>1</v>
      </c>
      <c r="J222" s="31">
        <f>Source!S78</f>
        <v>290.92</v>
      </c>
      <c r="K222" s="31"/>
    </row>
    <row r="223" spans="1:11" ht="14.25">
      <c r="A223" s="26"/>
      <c r="B223" s="27"/>
      <c r="C223" s="27" t="s">
        <v>477</v>
      </c>
      <c r="D223" s="28"/>
      <c r="E223" s="9"/>
      <c r="F223" s="30">
        <f>Source!AL78</f>
        <v>96.93</v>
      </c>
      <c r="G223" s="29">
        <f>Source!DD78</f>
      </c>
      <c r="H223" s="9">
        <f>Source!AW78</f>
        <v>1</v>
      </c>
      <c r="I223" s="9">
        <f>IF(Source!BC78&lt;&gt;0,Source!BC78,1)</f>
        <v>1</v>
      </c>
      <c r="J223" s="31">
        <f>Source!P78</f>
        <v>96.93</v>
      </c>
      <c r="K223" s="31"/>
    </row>
    <row r="224" spans="1:22" ht="71.25">
      <c r="A224" s="26" t="str">
        <f>Source!E79</f>
        <v>17,1</v>
      </c>
      <c r="B224" s="27" t="str">
        <f>Source!F79</f>
        <v>21.19-6-161</v>
      </c>
      <c r="C224" s="27" t="str">
        <f>Source!G79</f>
        <v>Клапаны для регулирования воздушных потоков в вентиляционных системах в искробезопасном исполнении из горячекатаной стали, марка АЗЕ 025, сечение 200х200 мм</v>
      </c>
      <c r="D224" s="28" t="str">
        <f>Source!H79</f>
        <v>шт.</v>
      </c>
      <c r="E224" s="9">
        <f>Source!I79</f>
        <v>1</v>
      </c>
      <c r="F224" s="30">
        <f>Source!AK79</f>
        <v>3414.5</v>
      </c>
      <c r="G224" s="32" t="s">
        <v>3</v>
      </c>
      <c r="H224" s="9">
        <f>Source!AW79</f>
        <v>1</v>
      </c>
      <c r="I224" s="9">
        <f>IF(Source!BC79&lt;&gt;0,Source!BC79,1)</f>
        <v>1</v>
      </c>
      <c r="J224" s="31">
        <f>Source!O79</f>
        <v>3414.5</v>
      </c>
      <c r="K224" s="31"/>
      <c r="Q224">
        <f>ROUND((Source!BZ79/100)*ROUND((Source!AF79*Source!AV79)*Source!I79,2),2)</f>
        <v>0</v>
      </c>
      <c r="R224">
        <f>Source!X79</f>
        <v>0</v>
      </c>
      <c r="S224">
        <f>ROUND((Source!CA79/100)*ROUND((Source!AF79*Source!AV79)*Source!I79,2),2)</f>
        <v>0</v>
      </c>
      <c r="T224">
        <f>Source!Y79</f>
        <v>0</v>
      </c>
      <c r="U224">
        <f>ROUND((175/100)*ROUND((Source!AE79*Source!AV79)*Source!I79,2),2)</f>
        <v>0</v>
      </c>
      <c r="V224">
        <f>ROUND((108/100)*ROUND(Source!CS79*Source!I79,2),2)</f>
        <v>0</v>
      </c>
    </row>
    <row r="225" spans="1:11" ht="14.25">
      <c r="A225" s="26"/>
      <c r="B225" s="27"/>
      <c r="C225" s="27" t="s">
        <v>479</v>
      </c>
      <c r="D225" s="28" t="s">
        <v>480</v>
      </c>
      <c r="E225" s="9">
        <f>Source!AT78</f>
        <v>70</v>
      </c>
      <c r="F225" s="30"/>
      <c r="G225" s="29"/>
      <c r="H225" s="9"/>
      <c r="I225" s="9"/>
      <c r="J225" s="31">
        <f>SUM(R221:R224)</f>
        <v>203.64</v>
      </c>
      <c r="K225" s="31"/>
    </row>
    <row r="226" spans="1:11" ht="14.25">
      <c r="A226" s="26"/>
      <c r="B226" s="27"/>
      <c r="C226" s="27" t="s">
        <v>481</v>
      </c>
      <c r="D226" s="28" t="s">
        <v>480</v>
      </c>
      <c r="E226" s="9">
        <f>Source!AU78</f>
        <v>10</v>
      </c>
      <c r="F226" s="30"/>
      <c r="G226" s="29"/>
      <c r="H226" s="9"/>
      <c r="I226" s="9"/>
      <c r="J226" s="31">
        <f>SUM(T221:T225)</f>
        <v>29.09</v>
      </c>
      <c r="K226" s="31"/>
    </row>
    <row r="227" spans="1:11" ht="14.25">
      <c r="A227" s="26"/>
      <c r="B227" s="27"/>
      <c r="C227" s="27" t="s">
        <v>482</v>
      </c>
      <c r="D227" s="28" t="s">
        <v>483</v>
      </c>
      <c r="E227" s="9">
        <f>Source!AQ78</f>
        <v>1.63</v>
      </c>
      <c r="F227" s="30"/>
      <c r="G227" s="29">
        <f>Source!DI78</f>
      </c>
      <c r="H227" s="9">
        <f>Source!AV78</f>
        <v>1</v>
      </c>
      <c r="I227" s="9"/>
      <c r="J227" s="31"/>
      <c r="K227" s="31">
        <f>Source!U78</f>
        <v>1.63</v>
      </c>
    </row>
    <row r="228" spans="1:16" ht="15">
      <c r="A228" s="35"/>
      <c r="B228" s="35"/>
      <c r="C228" s="35"/>
      <c r="D228" s="35"/>
      <c r="E228" s="35"/>
      <c r="F228" s="35"/>
      <c r="G228" s="35"/>
      <c r="H228" s="35"/>
      <c r="I228" s="77">
        <f>J222+J223+J225+J226+SUM(J224:J224)</f>
        <v>4035.08</v>
      </c>
      <c r="J228" s="77"/>
      <c r="K228" s="36">
        <f>IF(Source!I78&lt;&gt;0,ROUND(I228/Source!I78,2),0)</f>
        <v>4035.08</v>
      </c>
      <c r="P228" s="33">
        <f>I228</f>
        <v>4035.08</v>
      </c>
    </row>
    <row r="229" spans="1:22" ht="42.75">
      <c r="A229" s="26" t="str">
        <f>Source!E80</f>
        <v>18</v>
      </c>
      <c r="B229" s="27" t="str">
        <f>Source!F80</f>
        <v>1.18-3203-3-5/1</v>
      </c>
      <c r="C229" s="27" t="str">
        <f>Source!G80</f>
        <v>Установка клапанов обратных периметром до 1000 мм (без стоимости клапанов)</v>
      </c>
      <c r="D229" s="28" t="str">
        <f>Source!H80</f>
        <v>шт.</v>
      </c>
      <c r="E229" s="9">
        <f>Source!I80</f>
        <v>1</v>
      </c>
      <c r="F229" s="30"/>
      <c r="G229" s="29"/>
      <c r="H229" s="9"/>
      <c r="I229" s="9"/>
      <c r="J229" s="31"/>
      <c r="K229" s="31"/>
      <c r="Q229">
        <f>ROUND((Source!BZ80/100)*ROUND((Source!AF80*Source!AV80)*Source!I80,2),2)</f>
        <v>147.43</v>
      </c>
      <c r="R229">
        <f>Source!X80</f>
        <v>147.43</v>
      </c>
      <c r="S229">
        <f>ROUND((Source!CA80/100)*ROUND((Source!AF80*Source!AV80)*Source!I80,2),2)</f>
        <v>21.06</v>
      </c>
      <c r="T229">
        <f>Source!Y80</f>
        <v>21.06</v>
      </c>
      <c r="U229">
        <f>ROUND((175/100)*ROUND((Source!AE80*Source!AV80)*Source!I80,2),2)</f>
        <v>0</v>
      </c>
      <c r="V229">
        <f>ROUND((108/100)*ROUND(Source!CS80*Source!I80,2),2)</f>
        <v>0</v>
      </c>
    </row>
    <row r="230" spans="1:11" ht="14.25">
      <c r="A230" s="26"/>
      <c r="B230" s="27"/>
      <c r="C230" s="27" t="s">
        <v>476</v>
      </c>
      <c r="D230" s="28"/>
      <c r="E230" s="9"/>
      <c r="F230" s="30">
        <f>Source!AO80</f>
        <v>210.61</v>
      </c>
      <c r="G230" s="29">
        <f>Source!DG80</f>
      </c>
      <c r="H230" s="9">
        <f>Source!AV80</f>
        <v>1</v>
      </c>
      <c r="I230" s="9">
        <f>IF(Source!BA80&lt;&gt;0,Source!BA80,1)</f>
        <v>1</v>
      </c>
      <c r="J230" s="31">
        <f>Source!S80</f>
        <v>210.61</v>
      </c>
      <c r="K230" s="31"/>
    </row>
    <row r="231" spans="1:22" ht="57">
      <c r="A231" s="26" t="str">
        <f>Source!E81</f>
        <v>18,1</v>
      </c>
      <c r="B231" s="27" t="str">
        <f>Source!F81</f>
        <v>21.19-6-207</v>
      </c>
      <c r="C231" s="27" t="str">
        <f>Source!G81</f>
        <v>Клапаны обратные для регулирования воздушных потоков в вентиляционных системах из оцинкованной стали, марка КОП, сечение 500х500 мм</v>
      </c>
      <c r="D231" s="28" t="str">
        <f>Source!H81</f>
        <v>шт.</v>
      </c>
      <c r="E231" s="9">
        <f>Source!I81</f>
        <v>1</v>
      </c>
      <c r="F231" s="30">
        <f>Source!AK81</f>
        <v>2660.52</v>
      </c>
      <c r="G231" s="32" t="s">
        <v>3</v>
      </c>
      <c r="H231" s="9">
        <f>Source!AW81</f>
        <v>1</v>
      </c>
      <c r="I231" s="9">
        <f>IF(Source!BC81&lt;&gt;0,Source!BC81,1)</f>
        <v>1</v>
      </c>
      <c r="J231" s="31">
        <f>Source!O81</f>
        <v>2660.52</v>
      </c>
      <c r="K231" s="31"/>
      <c r="Q231">
        <f>ROUND((Source!BZ81/100)*ROUND((Source!AF81*Source!AV81)*Source!I81,2),2)</f>
        <v>0</v>
      </c>
      <c r="R231">
        <f>Source!X81</f>
        <v>0</v>
      </c>
      <c r="S231">
        <f>ROUND((Source!CA81/100)*ROUND((Source!AF81*Source!AV81)*Source!I81,2),2)</f>
        <v>0</v>
      </c>
      <c r="T231">
        <f>Source!Y81</f>
        <v>0</v>
      </c>
      <c r="U231">
        <f>ROUND((175/100)*ROUND((Source!AE81*Source!AV81)*Source!I81,2),2)</f>
        <v>0</v>
      </c>
      <c r="V231">
        <f>ROUND((108/100)*ROUND(Source!CS81*Source!I81,2),2)</f>
        <v>0</v>
      </c>
    </row>
    <row r="232" spans="1:11" ht="14.25">
      <c r="A232" s="26"/>
      <c r="B232" s="27"/>
      <c r="C232" s="27" t="s">
        <v>479</v>
      </c>
      <c r="D232" s="28" t="s">
        <v>480</v>
      </c>
      <c r="E232" s="9">
        <f>Source!AT80</f>
        <v>70</v>
      </c>
      <c r="F232" s="30"/>
      <c r="G232" s="29"/>
      <c r="H232" s="9"/>
      <c r="I232" s="9"/>
      <c r="J232" s="31">
        <f>SUM(R229:R231)</f>
        <v>147.43</v>
      </c>
      <c r="K232" s="31"/>
    </row>
    <row r="233" spans="1:11" ht="14.25">
      <c r="A233" s="26"/>
      <c r="B233" s="27"/>
      <c r="C233" s="27" t="s">
        <v>481</v>
      </c>
      <c r="D233" s="28" t="s">
        <v>480</v>
      </c>
      <c r="E233" s="9">
        <f>Source!AU80</f>
        <v>10</v>
      </c>
      <c r="F233" s="30"/>
      <c r="G233" s="29"/>
      <c r="H233" s="9"/>
      <c r="I233" s="9"/>
      <c r="J233" s="31">
        <f>SUM(T229:T232)</f>
        <v>21.06</v>
      </c>
      <c r="K233" s="31"/>
    </row>
    <row r="234" spans="1:11" ht="14.25">
      <c r="A234" s="26"/>
      <c r="B234" s="27"/>
      <c r="C234" s="27" t="s">
        <v>482</v>
      </c>
      <c r="D234" s="28" t="s">
        <v>483</v>
      </c>
      <c r="E234" s="9">
        <f>Source!AQ80</f>
        <v>1.18</v>
      </c>
      <c r="F234" s="30"/>
      <c r="G234" s="29">
        <f>Source!DI80</f>
      </c>
      <c r="H234" s="9">
        <f>Source!AV80</f>
        <v>1</v>
      </c>
      <c r="I234" s="9"/>
      <c r="J234" s="31"/>
      <c r="K234" s="31">
        <f>Source!U80</f>
        <v>1.18</v>
      </c>
    </row>
    <row r="235" spans="1:16" ht="15">
      <c r="A235" s="35"/>
      <c r="B235" s="35"/>
      <c r="C235" s="35"/>
      <c r="D235" s="35"/>
      <c r="E235" s="35"/>
      <c r="F235" s="35"/>
      <c r="G235" s="35"/>
      <c r="H235" s="35"/>
      <c r="I235" s="77">
        <f>J230+J232+J233+SUM(J231:J231)</f>
        <v>3039.62</v>
      </c>
      <c r="J235" s="77"/>
      <c r="K235" s="36">
        <f>IF(Source!I80&lt;&gt;0,ROUND(I235/Source!I80,2),0)</f>
        <v>3039.62</v>
      </c>
      <c r="P235" s="33">
        <f>I235</f>
        <v>3039.62</v>
      </c>
    </row>
    <row r="236" spans="1:22" ht="71.25">
      <c r="A236" s="26" t="str">
        <f>Source!E82</f>
        <v>19</v>
      </c>
      <c r="B236" s="27" t="str">
        <f>Source!F82</f>
        <v>1.18-3303-1-1/1</v>
      </c>
      <c r="C236" s="27" t="str">
        <f>Source!G82</f>
        <v>Установка вентиляторов радиальных с электродвигателем на одной оси или на клиноременной передаче, массой до 0,05 т (без стоимости вентиляторов и гибких вставок)</v>
      </c>
      <c r="D236" s="28" t="str">
        <f>Source!H82</f>
        <v>шт.</v>
      </c>
      <c r="E236" s="9">
        <f>Source!I82</f>
        <v>1</v>
      </c>
      <c r="F236" s="30"/>
      <c r="G236" s="29"/>
      <c r="H236" s="9"/>
      <c r="I236" s="9"/>
      <c r="J236" s="31"/>
      <c r="K236" s="31"/>
      <c r="Q236">
        <f>ROUND((Source!BZ82/100)*ROUND((Source!AF82*Source!AV82)*Source!I82,2),2)</f>
        <v>937.22</v>
      </c>
      <c r="R236">
        <f>Source!X82</f>
        <v>937.22</v>
      </c>
      <c r="S236">
        <f>ROUND((Source!CA82/100)*ROUND((Source!AF82*Source!AV82)*Source!I82,2),2)</f>
        <v>133.89</v>
      </c>
      <c r="T236">
        <f>Source!Y82</f>
        <v>133.89</v>
      </c>
      <c r="U236">
        <f>ROUND((175/100)*ROUND((Source!AE82*Source!AV82)*Source!I82,2),2)</f>
        <v>0</v>
      </c>
      <c r="V236">
        <f>ROUND((108/100)*ROUND(Source!CS82*Source!I82,2),2)</f>
        <v>0</v>
      </c>
    </row>
    <row r="237" spans="1:11" ht="14.25">
      <c r="A237" s="26"/>
      <c r="B237" s="27"/>
      <c r="C237" s="27" t="s">
        <v>476</v>
      </c>
      <c r="D237" s="28"/>
      <c r="E237" s="9"/>
      <c r="F237" s="30">
        <f>Source!AO82</f>
        <v>1338.88</v>
      </c>
      <c r="G237" s="29">
        <f>Source!DG82</f>
      </c>
      <c r="H237" s="9">
        <f>Source!AV82</f>
        <v>1</v>
      </c>
      <c r="I237" s="9">
        <f>IF(Source!BA82&lt;&gt;0,Source!BA82,1)</f>
        <v>1</v>
      </c>
      <c r="J237" s="31">
        <f>Source!S82</f>
        <v>1338.88</v>
      </c>
      <c r="K237" s="31"/>
    </row>
    <row r="238" spans="1:11" ht="14.25">
      <c r="A238" s="26"/>
      <c r="B238" s="27"/>
      <c r="C238" s="27" t="s">
        <v>477</v>
      </c>
      <c r="D238" s="28"/>
      <c r="E238" s="9"/>
      <c r="F238" s="30">
        <f>Source!AL82</f>
        <v>199.95</v>
      </c>
      <c r="G238" s="29">
        <f>Source!DD82</f>
      </c>
      <c r="H238" s="9">
        <f>Source!AW82</f>
        <v>1</v>
      </c>
      <c r="I238" s="9">
        <f>IF(Source!BC82&lt;&gt;0,Source!BC82,1)</f>
        <v>1</v>
      </c>
      <c r="J238" s="31">
        <f>Source!P82</f>
        <v>199.95</v>
      </c>
      <c r="K238" s="31"/>
    </row>
    <row r="239" spans="1:22" ht="68.25">
      <c r="A239" s="26" t="str">
        <f>Source!E83</f>
        <v>19,1</v>
      </c>
      <c r="B239" s="27" t="str">
        <f>Source!F83</f>
        <v>цена поставщика Том1. п19</v>
      </c>
      <c r="C239" s="27" t="s">
        <v>492</v>
      </c>
      <c r="D239" s="28" t="str">
        <f>Source!H83</f>
        <v>ШТ</v>
      </c>
      <c r="E239" s="9">
        <f>Source!I83</f>
        <v>1</v>
      </c>
      <c r="F239" s="30">
        <f>Source!AK83</f>
        <v>7622.08</v>
      </c>
      <c r="G239" s="32" t="s">
        <v>3</v>
      </c>
      <c r="H239" s="9">
        <f>Source!AW83</f>
        <v>1</v>
      </c>
      <c r="I239" s="9">
        <f>IF(Source!BC83&lt;&gt;0,Source!BC83,1)</f>
        <v>1</v>
      </c>
      <c r="J239" s="31">
        <f>Source!O83</f>
        <v>7622.08</v>
      </c>
      <c r="K239" s="31"/>
      <c r="Q239">
        <f>ROUND((Source!BZ83/100)*ROUND((Source!AF83*Source!AV83)*Source!I83,2),2)</f>
        <v>0</v>
      </c>
      <c r="R239">
        <f>Source!X83</f>
        <v>0</v>
      </c>
      <c r="S239">
        <f>ROUND((Source!CA83/100)*ROUND((Source!AF83*Source!AV83)*Source!I83,2),2)</f>
        <v>0</v>
      </c>
      <c r="T239">
        <f>Source!Y83</f>
        <v>0</v>
      </c>
      <c r="U239">
        <f>ROUND((175/100)*ROUND((Source!AE83*Source!AV83)*Source!I83,2),2)</f>
        <v>0</v>
      </c>
      <c r="V239">
        <f>ROUND((108/100)*ROUND(Source!CS83*Source!I83,2),2)</f>
        <v>0</v>
      </c>
    </row>
    <row r="240" spans="1:11" ht="14.25">
      <c r="A240" s="26"/>
      <c r="B240" s="27"/>
      <c r="C240" s="27" t="s">
        <v>479</v>
      </c>
      <c r="D240" s="28" t="s">
        <v>480</v>
      </c>
      <c r="E240" s="9">
        <f>Source!AT82</f>
        <v>70</v>
      </c>
      <c r="F240" s="30"/>
      <c r="G240" s="29"/>
      <c r="H240" s="9"/>
      <c r="I240" s="9"/>
      <c r="J240" s="31">
        <f>SUM(R236:R239)</f>
        <v>937.22</v>
      </c>
      <c r="K240" s="31"/>
    </row>
    <row r="241" spans="1:11" ht="14.25">
      <c r="A241" s="26"/>
      <c r="B241" s="27"/>
      <c r="C241" s="27" t="s">
        <v>481</v>
      </c>
      <c r="D241" s="28" t="s">
        <v>480</v>
      </c>
      <c r="E241" s="9">
        <f>Source!AU82</f>
        <v>10</v>
      </c>
      <c r="F241" s="30"/>
      <c r="G241" s="29"/>
      <c r="H241" s="9"/>
      <c r="I241" s="9"/>
      <c r="J241" s="31">
        <f>SUM(T236:T240)</f>
        <v>133.89</v>
      </c>
      <c r="K241" s="31"/>
    </row>
    <row r="242" spans="1:11" ht="14.25">
      <c r="A242" s="26"/>
      <c r="B242" s="27"/>
      <c r="C242" s="27" t="s">
        <v>482</v>
      </c>
      <c r="D242" s="28" t="s">
        <v>483</v>
      </c>
      <c r="E242" s="9">
        <f>Source!AQ82</f>
        <v>6.9</v>
      </c>
      <c r="F242" s="30"/>
      <c r="G242" s="29">
        <f>Source!DI82</f>
      </c>
      <c r="H242" s="9">
        <f>Source!AV82</f>
        <v>1</v>
      </c>
      <c r="I242" s="9"/>
      <c r="J242" s="31"/>
      <c r="K242" s="31">
        <f>Source!U82</f>
        <v>6.9</v>
      </c>
    </row>
    <row r="243" spans="1:16" ht="15">
      <c r="A243" s="35"/>
      <c r="B243" s="35"/>
      <c r="C243" s="35"/>
      <c r="D243" s="35"/>
      <c r="E243" s="35"/>
      <c r="F243" s="35"/>
      <c r="G243" s="35"/>
      <c r="H243" s="35"/>
      <c r="I243" s="77">
        <f>J237+J238+J240+J241+SUM(J239:J239)</f>
        <v>10232.02</v>
      </c>
      <c r="J243" s="77"/>
      <c r="K243" s="36">
        <f>IF(Source!I82&lt;&gt;0,ROUND(I243/Source!I82,2),0)</f>
        <v>10232.02</v>
      </c>
      <c r="P243" s="33">
        <f>I243</f>
        <v>10232.02</v>
      </c>
    </row>
    <row r="245" spans="1:32" ht="15">
      <c r="A245" s="80" t="str">
        <f>CONCATENATE("Итого по разделу: ",IF(Source!G85&lt;&gt;"Новый раздел",Source!G85,""))</f>
        <v>Итого по разделу: Монтажные работы</v>
      </c>
      <c r="B245" s="80"/>
      <c r="C245" s="80"/>
      <c r="D245" s="80"/>
      <c r="E245" s="80"/>
      <c r="F245" s="80"/>
      <c r="G245" s="80"/>
      <c r="H245" s="80"/>
      <c r="I245" s="78">
        <f>SUM(P32:P244)</f>
        <v>763826.7399999999</v>
      </c>
      <c r="J245" s="79"/>
      <c r="K245" s="38"/>
      <c r="AF245" s="39" t="str">
        <f>CONCATENATE("Итого по разделу: ",IF(Source!G85&lt;&gt;"Новый раздел",Source!G85,""))</f>
        <v>Итого по разделу: Монтажные работы</v>
      </c>
    </row>
    <row r="248" spans="1:31" ht="16.5">
      <c r="A248" s="76" t="str">
        <f>CONCATENATE("Раздел: ",IF(Source!G111&lt;&gt;"Новый раздел",Source!G111,""))</f>
        <v>Раздел: Демонтажные работы</v>
      </c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AE248" s="25" t="str">
        <f>CONCATENATE("Раздел: ",IF(Source!G111&lt;&gt;"Новый раздел",Source!G111,""))</f>
        <v>Раздел: Демонтажные работы</v>
      </c>
    </row>
    <row r="249" spans="1:22" ht="42.75">
      <c r="A249" s="26" t="str">
        <f>Source!E115</f>
        <v>1</v>
      </c>
      <c r="B249" s="27" t="str">
        <f>Source!F115</f>
        <v>1.18-3104-1-3/1</v>
      </c>
      <c r="C249" s="27" t="str">
        <f>Source!G115</f>
        <v>Разборка воздуховодов из листовой стали толщиной до 0,9 мм, диаметр/периметр до 320/1000 мм</v>
      </c>
      <c r="D249" s="28" t="str">
        <f>Source!H115</f>
        <v>100 м2</v>
      </c>
      <c r="E249" s="9">
        <f>Source!I115</f>
        <v>0.8</v>
      </c>
      <c r="F249" s="30"/>
      <c r="G249" s="29"/>
      <c r="H249" s="9"/>
      <c r="I249" s="9"/>
      <c r="J249" s="31"/>
      <c r="K249" s="31"/>
      <c r="Q249">
        <f>ROUND((Source!BZ115/100)*ROUND((Source!AF115*Source!AV115)*Source!I115,2),2)</f>
        <v>2709.15</v>
      </c>
      <c r="R249">
        <f>Source!X115</f>
        <v>2709.15</v>
      </c>
      <c r="S249">
        <f>ROUND((Source!CA115/100)*ROUND((Source!AF115*Source!AV115)*Source!I115,2),2)</f>
        <v>387.02</v>
      </c>
      <c r="T249">
        <f>Source!Y115</f>
        <v>387.02</v>
      </c>
      <c r="U249">
        <f>ROUND((175/100)*ROUND((Source!AE115*Source!AV115)*Source!I115,2),2)</f>
        <v>0</v>
      </c>
      <c r="V249">
        <f>ROUND((108/100)*ROUND(Source!CS115*Source!I115,2),2)</f>
        <v>0</v>
      </c>
    </row>
    <row r="250" spans="1:11" ht="14.25">
      <c r="A250" s="26"/>
      <c r="B250" s="27"/>
      <c r="C250" s="27" t="s">
        <v>476</v>
      </c>
      <c r="D250" s="28"/>
      <c r="E250" s="9"/>
      <c r="F250" s="30">
        <f>Source!AO115</f>
        <v>4837.78</v>
      </c>
      <c r="G250" s="29">
        <f>Source!DG115</f>
      </c>
      <c r="H250" s="9">
        <f>Source!AV115</f>
        <v>1</v>
      </c>
      <c r="I250" s="9">
        <f>IF(Source!BA115&lt;&gt;0,Source!BA115,1)</f>
        <v>1</v>
      </c>
      <c r="J250" s="31">
        <f>Source!S115</f>
        <v>3870.22</v>
      </c>
      <c r="K250" s="31"/>
    </row>
    <row r="251" spans="1:11" ht="14.25">
      <c r="A251" s="26"/>
      <c r="B251" s="27"/>
      <c r="C251" s="27" t="s">
        <v>479</v>
      </c>
      <c r="D251" s="28" t="s">
        <v>480</v>
      </c>
      <c r="E251" s="9">
        <f>Source!AT115</f>
        <v>70</v>
      </c>
      <c r="F251" s="30"/>
      <c r="G251" s="29"/>
      <c r="H251" s="9"/>
      <c r="I251" s="9"/>
      <c r="J251" s="31">
        <f>SUM(R249:R250)</f>
        <v>2709.15</v>
      </c>
      <c r="K251" s="31"/>
    </row>
    <row r="252" spans="1:11" ht="14.25">
      <c r="A252" s="26"/>
      <c r="B252" s="27"/>
      <c r="C252" s="27" t="s">
        <v>481</v>
      </c>
      <c r="D252" s="28" t="s">
        <v>480</v>
      </c>
      <c r="E252" s="9">
        <f>Source!AU115</f>
        <v>10</v>
      </c>
      <c r="F252" s="30"/>
      <c r="G252" s="29"/>
      <c r="H252" s="9"/>
      <c r="I252" s="9"/>
      <c r="J252" s="31">
        <f>SUM(T249:T251)</f>
        <v>387.02</v>
      </c>
      <c r="K252" s="31"/>
    </row>
    <row r="253" spans="1:11" ht="14.25">
      <c r="A253" s="26"/>
      <c r="B253" s="27"/>
      <c r="C253" s="27" t="s">
        <v>482</v>
      </c>
      <c r="D253" s="28" t="s">
        <v>483</v>
      </c>
      <c r="E253" s="9">
        <f>Source!AQ115</f>
        <v>29</v>
      </c>
      <c r="F253" s="30"/>
      <c r="G253" s="29">
        <f>Source!DI115</f>
      </c>
      <c r="H253" s="9">
        <f>Source!AV115</f>
        <v>1</v>
      </c>
      <c r="I253" s="9"/>
      <c r="J253" s="31"/>
      <c r="K253" s="31">
        <f>Source!U115</f>
        <v>23.200000000000003</v>
      </c>
    </row>
    <row r="254" spans="1:16" ht="15">
      <c r="A254" s="35"/>
      <c r="B254" s="35"/>
      <c r="C254" s="35"/>
      <c r="D254" s="35"/>
      <c r="E254" s="35"/>
      <c r="F254" s="35"/>
      <c r="G254" s="35"/>
      <c r="H254" s="35"/>
      <c r="I254" s="77">
        <f>J250+J251+J252</f>
        <v>6966.389999999999</v>
      </c>
      <c r="J254" s="77"/>
      <c r="K254" s="36">
        <f>IF(Source!I115&lt;&gt;0,ROUND(I254/Source!I115,2),0)</f>
        <v>8707.99</v>
      </c>
      <c r="P254" s="33">
        <f>I254</f>
        <v>6966.389999999999</v>
      </c>
    </row>
    <row r="255" spans="1:22" ht="42.75">
      <c r="A255" s="26" t="str">
        <f>Source!E116</f>
        <v>2</v>
      </c>
      <c r="B255" s="27" t="str">
        <f>Source!F116</f>
        <v>1.18-3104-1-4/1</v>
      </c>
      <c r="C255" s="27" t="str">
        <f>Source!G116</f>
        <v>Разборка воздуховодов из листовой стали толщиной до 0,9 мм, диаметр/периметр до 495/1550 мм</v>
      </c>
      <c r="D255" s="28" t="str">
        <f>Source!H116</f>
        <v>100 м2</v>
      </c>
      <c r="E255" s="9">
        <f>Source!I116</f>
        <v>0.825</v>
      </c>
      <c r="F255" s="30"/>
      <c r="G255" s="29"/>
      <c r="H255" s="9"/>
      <c r="I255" s="9"/>
      <c r="J255" s="31"/>
      <c r="K255" s="31"/>
      <c r="Q255">
        <f>ROUND((Source!BZ116/100)*ROUND((Source!AF116*Source!AV116)*Source!I116,2),2)</f>
        <v>2267.45</v>
      </c>
      <c r="R255">
        <f>Source!X116</f>
        <v>2267.45</v>
      </c>
      <c r="S255">
        <f>ROUND((Source!CA116/100)*ROUND((Source!AF116*Source!AV116)*Source!I116,2),2)</f>
        <v>323.92</v>
      </c>
      <c r="T255">
        <f>Source!Y116</f>
        <v>323.92</v>
      </c>
      <c r="U255">
        <f>ROUND((175/100)*ROUND((Source!AE116*Source!AV116)*Source!I116,2),2)</f>
        <v>0</v>
      </c>
      <c r="V255">
        <f>ROUND((108/100)*ROUND(Source!CS116*Source!I116,2),2)</f>
        <v>0</v>
      </c>
    </row>
    <row r="256" spans="1:11" ht="14.25">
      <c r="A256" s="26"/>
      <c r="B256" s="27"/>
      <c r="C256" s="27" t="s">
        <v>476</v>
      </c>
      <c r="D256" s="28"/>
      <c r="E256" s="9"/>
      <c r="F256" s="30">
        <f>Source!AO116</f>
        <v>3926.33</v>
      </c>
      <c r="G256" s="29">
        <f>Source!DG116</f>
      </c>
      <c r="H256" s="9">
        <f>Source!AV116</f>
        <v>1</v>
      </c>
      <c r="I256" s="9">
        <f>IF(Source!BA116&lt;&gt;0,Source!BA116,1)</f>
        <v>1</v>
      </c>
      <c r="J256" s="31">
        <f>Source!S116</f>
        <v>3239.22</v>
      </c>
      <c r="K256" s="31"/>
    </row>
    <row r="257" spans="1:11" ht="14.25">
      <c r="A257" s="26"/>
      <c r="B257" s="27"/>
      <c r="C257" s="27" t="s">
        <v>479</v>
      </c>
      <c r="D257" s="28" t="s">
        <v>480</v>
      </c>
      <c r="E257" s="9">
        <f>Source!AT116</f>
        <v>70</v>
      </c>
      <c r="F257" s="30"/>
      <c r="G257" s="29"/>
      <c r="H257" s="9"/>
      <c r="I257" s="9"/>
      <c r="J257" s="31">
        <f>SUM(R255:R256)</f>
        <v>2267.45</v>
      </c>
      <c r="K257" s="31"/>
    </row>
    <row r="258" spans="1:11" ht="14.25">
      <c r="A258" s="26"/>
      <c r="B258" s="27"/>
      <c r="C258" s="27" t="s">
        <v>481</v>
      </c>
      <c r="D258" s="28" t="s">
        <v>480</v>
      </c>
      <c r="E258" s="9">
        <f>Source!AU116</f>
        <v>10</v>
      </c>
      <c r="F258" s="30"/>
      <c r="G258" s="29"/>
      <c r="H258" s="9"/>
      <c r="I258" s="9"/>
      <c r="J258" s="31">
        <f>SUM(T255:T257)</f>
        <v>323.92</v>
      </c>
      <c r="K258" s="31"/>
    </row>
    <row r="259" spans="1:11" ht="14.25">
      <c r="A259" s="26"/>
      <c r="B259" s="27"/>
      <c r="C259" s="27" t="s">
        <v>482</v>
      </c>
      <c r="D259" s="28" t="s">
        <v>483</v>
      </c>
      <c r="E259" s="9">
        <f>Source!AQ116</f>
        <v>23</v>
      </c>
      <c r="F259" s="30"/>
      <c r="G259" s="29">
        <f>Source!DI116</f>
      </c>
      <c r="H259" s="9">
        <f>Source!AV116</f>
        <v>1</v>
      </c>
      <c r="I259" s="9"/>
      <c r="J259" s="31"/>
      <c r="K259" s="31">
        <f>Source!U116</f>
        <v>18.974999999999998</v>
      </c>
    </row>
    <row r="260" spans="1:16" ht="15">
      <c r="A260" s="35"/>
      <c r="B260" s="35"/>
      <c r="C260" s="35"/>
      <c r="D260" s="35"/>
      <c r="E260" s="35"/>
      <c r="F260" s="35"/>
      <c r="G260" s="35"/>
      <c r="H260" s="35"/>
      <c r="I260" s="77">
        <f>J256+J257+J258</f>
        <v>5830.59</v>
      </c>
      <c r="J260" s="77"/>
      <c r="K260" s="36">
        <f>IF(Source!I116&lt;&gt;0,ROUND(I260/Source!I116,2),0)</f>
        <v>7067.38</v>
      </c>
      <c r="P260" s="33">
        <f>I260</f>
        <v>5830.59</v>
      </c>
    </row>
    <row r="261" spans="1:22" ht="42.75">
      <c r="A261" s="26" t="str">
        <f>Source!E117</f>
        <v>3</v>
      </c>
      <c r="B261" s="27" t="str">
        <f>Source!F117</f>
        <v>1.18-3104-1-5/1</v>
      </c>
      <c r="C261" s="27" t="str">
        <f>Source!G117</f>
        <v>Разборка воздуховодов из листовой стали толщиной до 0,9 мм, диаметр/периметр до 660/2070 мм</v>
      </c>
      <c r="D261" s="28" t="str">
        <f>Source!H117</f>
        <v>100 м2</v>
      </c>
      <c r="E261" s="9">
        <f>Source!I117</f>
        <v>0.654</v>
      </c>
      <c r="F261" s="30"/>
      <c r="G261" s="29"/>
      <c r="H261" s="9"/>
      <c r="I261" s="9"/>
      <c r="J261" s="31"/>
      <c r="K261" s="31"/>
      <c r="Q261">
        <f>ROUND((Source!BZ117/100)*ROUND((Source!AF117*Source!AV117)*Source!I117,2),2)</f>
        <v>1527.41</v>
      </c>
      <c r="R261">
        <f>Source!X117</f>
        <v>1527.41</v>
      </c>
      <c r="S261">
        <f>ROUND((Source!CA117/100)*ROUND((Source!AF117*Source!AV117)*Source!I117,2),2)</f>
        <v>218.2</v>
      </c>
      <c r="T261">
        <f>Source!Y117</f>
        <v>218.2</v>
      </c>
      <c r="U261">
        <f>ROUND((175/100)*ROUND((Source!AE117*Source!AV117)*Source!I117,2),2)</f>
        <v>0</v>
      </c>
      <c r="V261">
        <f>ROUND((108/100)*ROUND(Source!CS117*Source!I117,2),2)</f>
        <v>0</v>
      </c>
    </row>
    <row r="262" spans="1:11" ht="14.25">
      <c r="A262" s="26"/>
      <c r="B262" s="27"/>
      <c r="C262" s="27" t="s">
        <v>476</v>
      </c>
      <c r="D262" s="28"/>
      <c r="E262" s="9"/>
      <c r="F262" s="30">
        <f>Source!AO117</f>
        <v>3336.4</v>
      </c>
      <c r="G262" s="29">
        <f>Source!DG117</f>
      </c>
      <c r="H262" s="9">
        <f>Source!AV117</f>
        <v>1</v>
      </c>
      <c r="I262" s="9">
        <f>IF(Source!BA117&lt;&gt;0,Source!BA117,1)</f>
        <v>1</v>
      </c>
      <c r="J262" s="31">
        <f>Source!S117</f>
        <v>2182.01</v>
      </c>
      <c r="K262" s="31"/>
    </row>
    <row r="263" spans="1:11" ht="14.25">
      <c r="A263" s="26"/>
      <c r="B263" s="27"/>
      <c r="C263" s="27" t="s">
        <v>479</v>
      </c>
      <c r="D263" s="28" t="s">
        <v>480</v>
      </c>
      <c r="E263" s="9">
        <f>Source!AT117</f>
        <v>70</v>
      </c>
      <c r="F263" s="30"/>
      <c r="G263" s="29"/>
      <c r="H263" s="9"/>
      <c r="I263" s="9"/>
      <c r="J263" s="31">
        <f>SUM(R261:R262)</f>
        <v>1527.41</v>
      </c>
      <c r="K263" s="31"/>
    </row>
    <row r="264" spans="1:11" ht="14.25">
      <c r="A264" s="26"/>
      <c r="B264" s="27"/>
      <c r="C264" s="27" t="s">
        <v>481</v>
      </c>
      <c r="D264" s="28" t="s">
        <v>480</v>
      </c>
      <c r="E264" s="9">
        <f>Source!AU117</f>
        <v>10</v>
      </c>
      <c r="F264" s="30"/>
      <c r="G264" s="29"/>
      <c r="H264" s="9"/>
      <c r="I264" s="9"/>
      <c r="J264" s="31">
        <f>SUM(T261:T263)</f>
        <v>218.2</v>
      </c>
      <c r="K264" s="31"/>
    </row>
    <row r="265" spans="1:11" ht="14.25">
      <c r="A265" s="26"/>
      <c r="B265" s="27"/>
      <c r="C265" s="27" t="s">
        <v>482</v>
      </c>
      <c r="D265" s="28" t="s">
        <v>483</v>
      </c>
      <c r="E265" s="9">
        <f>Source!AQ117</f>
        <v>20</v>
      </c>
      <c r="F265" s="30"/>
      <c r="G265" s="29">
        <f>Source!DI117</f>
      </c>
      <c r="H265" s="9">
        <f>Source!AV117</f>
        <v>1</v>
      </c>
      <c r="I265" s="9"/>
      <c r="J265" s="31"/>
      <c r="K265" s="31">
        <f>Source!U117</f>
        <v>13.08</v>
      </c>
    </row>
    <row r="266" spans="1:16" ht="15">
      <c r="A266" s="35"/>
      <c r="B266" s="35"/>
      <c r="C266" s="35"/>
      <c r="D266" s="35"/>
      <c r="E266" s="35"/>
      <c r="F266" s="35"/>
      <c r="G266" s="35"/>
      <c r="H266" s="35"/>
      <c r="I266" s="77">
        <f>J262+J263+J264</f>
        <v>3927.62</v>
      </c>
      <c r="J266" s="77"/>
      <c r="K266" s="36">
        <f>IF(Source!I117&lt;&gt;0,ROUND(I266/Source!I117,2),0)</f>
        <v>6005.54</v>
      </c>
      <c r="P266" s="33">
        <f>I266</f>
        <v>3927.62</v>
      </c>
    </row>
    <row r="267" spans="1:22" ht="28.5">
      <c r="A267" s="26" t="str">
        <f>Source!E118</f>
        <v>4</v>
      </c>
      <c r="B267" s="27" t="str">
        <f>Source!F118</f>
        <v>1.17-3304-1-1/1</v>
      </c>
      <c r="C267" s="27" t="str">
        <f>Source!G118</f>
        <v>Демонтаж радиатора массой до 80 кг</v>
      </c>
      <c r="D267" s="28" t="str">
        <f>Source!H118</f>
        <v>100 шт.</v>
      </c>
      <c r="E267" s="9">
        <f>Source!I118</f>
        <v>0.01</v>
      </c>
      <c r="F267" s="30"/>
      <c r="G267" s="29"/>
      <c r="H267" s="9"/>
      <c r="I267" s="9"/>
      <c r="J267" s="31"/>
      <c r="K267" s="31"/>
      <c r="Q267">
        <f>ROUND((Source!BZ118/100)*ROUND((Source!AF118*Source!AV118)*Source!I118,2),2)</f>
        <v>133.36</v>
      </c>
      <c r="R267">
        <f>Source!X118</f>
        <v>133.36</v>
      </c>
      <c r="S267">
        <f>ROUND((Source!CA118/100)*ROUND((Source!AF118*Source!AV118)*Source!I118,2),2)</f>
        <v>19.05</v>
      </c>
      <c r="T267">
        <f>Source!Y118</f>
        <v>19.05</v>
      </c>
      <c r="U267">
        <f>ROUND((175/100)*ROUND((Source!AE118*Source!AV118)*Source!I118,2),2)</f>
        <v>0</v>
      </c>
      <c r="V267">
        <f>ROUND((108/100)*ROUND(Source!CS118*Source!I118,2),2)</f>
        <v>0</v>
      </c>
    </row>
    <row r="268" spans="1:11" ht="14.25">
      <c r="A268" s="26"/>
      <c r="B268" s="27"/>
      <c r="C268" s="27" t="s">
        <v>476</v>
      </c>
      <c r="D268" s="28"/>
      <c r="E268" s="9"/>
      <c r="F268" s="30">
        <f>Source!AO118</f>
        <v>19052.01</v>
      </c>
      <c r="G268" s="29">
        <f>Source!DG118</f>
      </c>
      <c r="H268" s="9">
        <f>Source!AV118</f>
        <v>1</v>
      </c>
      <c r="I268" s="9">
        <f>IF(Source!BA118&lt;&gt;0,Source!BA118,1)</f>
        <v>1</v>
      </c>
      <c r="J268" s="31">
        <f>Source!S118</f>
        <v>190.52</v>
      </c>
      <c r="K268" s="31"/>
    </row>
    <row r="269" spans="1:11" ht="14.25">
      <c r="A269" s="26"/>
      <c r="B269" s="27"/>
      <c r="C269" s="27" t="s">
        <v>479</v>
      </c>
      <c r="D269" s="28" t="s">
        <v>480</v>
      </c>
      <c r="E269" s="9">
        <f>Source!AT118</f>
        <v>70</v>
      </c>
      <c r="F269" s="30"/>
      <c r="G269" s="29"/>
      <c r="H269" s="9"/>
      <c r="I269" s="9"/>
      <c r="J269" s="31">
        <f>SUM(R267:R268)</f>
        <v>133.36</v>
      </c>
      <c r="K269" s="31"/>
    </row>
    <row r="270" spans="1:11" ht="14.25">
      <c r="A270" s="26"/>
      <c r="B270" s="27"/>
      <c r="C270" s="27" t="s">
        <v>481</v>
      </c>
      <c r="D270" s="28" t="s">
        <v>480</v>
      </c>
      <c r="E270" s="9">
        <f>Source!AU118</f>
        <v>10</v>
      </c>
      <c r="F270" s="30"/>
      <c r="G270" s="29"/>
      <c r="H270" s="9"/>
      <c r="I270" s="9"/>
      <c r="J270" s="31">
        <f>SUM(T267:T269)</f>
        <v>19.05</v>
      </c>
      <c r="K270" s="31"/>
    </row>
    <row r="271" spans="1:11" ht="14.25">
      <c r="A271" s="26"/>
      <c r="B271" s="27"/>
      <c r="C271" s="27" t="s">
        <v>482</v>
      </c>
      <c r="D271" s="28" t="s">
        <v>483</v>
      </c>
      <c r="E271" s="9">
        <f>Source!AQ118</f>
        <v>120.59</v>
      </c>
      <c r="F271" s="30"/>
      <c r="G271" s="29">
        <f>Source!DI118</f>
      </c>
      <c r="H271" s="9">
        <f>Source!AV118</f>
        <v>1</v>
      </c>
      <c r="I271" s="9"/>
      <c r="J271" s="31"/>
      <c r="K271" s="31">
        <f>Source!U118</f>
        <v>1.2059</v>
      </c>
    </row>
    <row r="272" spans="1:16" ht="15">
      <c r="A272" s="35"/>
      <c r="B272" s="35"/>
      <c r="C272" s="35"/>
      <c r="D272" s="35"/>
      <c r="E272" s="35"/>
      <c r="F272" s="35"/>
      <c r="G272" s="35"/>
      <c r="H272" s="35"/>
      <c r="I272" s="77">
        <f>J268+J269+J270</f>
        <v>342.93</v>
      </c>
      <c r="J272" s="77"/>
      <c r="K272" s="36">
        <f>IF(Source!I118&lt;&gt;0,ROUND(I272/Source!I118,2),0)</f>
        <v>34293</v>
      </c>
      <c r="P272" s="33">
        <f>I272</f>
        <v>342.93</v>
      </c>
    </row>
    <row r="273" spans="1:22" ht="42.75">
      <c r="A273" s="26" t="str">
        <f>Source!E119</f>
        <v>5</v>
      </c>
      <c r="B273" s="27" t="str">
        <f>Source!F119</f>
        <v>1.18-3202-1-1/1</v>
      </c>
      <c r="C273" s="27" t="str">
        <f>Source!G119</f>
        <v>Смена вентиляционных решеток стальных штампованных, тип РШ, размеры 200х200 мм</v>
      </c>
      <c r="D273" s="28" t="str">
        <f>Source!H119</f>
        <v>100 шт.</v>
      </c>
      <c r="E273" s="9">
        <f>Source!I119</f>
        <v>0.18</v>
      </c>
      <c r="F273" s="30"/>
      <c r="G273" s="29"/>
      <c r="H273" s="9"/>
      <c r="I273" s="9"/>
      <c r="J273" s="31"/>
      <c r="K273" s="31"/>
      <c r="Q273">
        <f>ROUND((Source!BZ119/100)*ROUND((Source!AF119*Source!AV119)*Source!I119,2),2)</f>
        <v>970.89</v>
      </c>
      <c r="R273">
        <f>Source!X119</f>
        <v>970.89</v>
      </c>
      <c r="S273">
        <f>ROUND((Source!CA119/100)*ROUND((Source!AF119*Source!AV119)*Source!I119,2),2)</f>
        <v>138.7</v>
      </c>
      <c r="T273">
        <f>Source!Y119</f>
        <v>138.7</v>
      </c>
      <c r="U273">
        <f>ROUND((175/100)*ROUND((Source!AE119*Source!AV119)*Source!I119,2),2)</f>
        <v>0</v>
      </c>
      <c r="V273">
        <f>ROUND((108/100)*ROUND(Source!CS119*Source!I119,2),2)</f>
        <v>0</v>
      </c>
    </row>
    <row r="274" spans="1:11" ht="14.25">
      <c r="A274" s="26"/>
      <c r="B274" s="27"/>
      <c r="C274" s="27" t="s">
        <v>476</v>
      </c>
      <c r="D274" s="28"/>
      <c r="E274" s="9"/>
      <c r="F274" s="30">
        <f>Source!AO119</f>
        <v>7705.42</v>
      </c>
      <c r="G274" s="29">
        <f>Source!DG119</f>
      </c>
      <c r="H274" s="9">
        <f>Source!AV119</f>
        <v>1</v>
      </c>
      <c r="I274" s="9">
        <f>IF(Source!BA119&lt;&gt;0,Source!BA119,1)</f>
        <v>1</v>
      </c>
      <c r="J274" s="31">
        <f>Source!S119</f>
        <v>1386.98</v>
      </c>
      <c r="K274" s="31"/>
    </row>
    <row r="275" spans="1:11" ht="14.25">
      <c r="A275" s="26"/>
      <c r="B275" s="27"/>
      <c r="C275" s="27" t="s">
        <v>477</v>
      </c>
      <c r="D275" s="28"/>
      <c r="E275" s="9"/>
      <c r="F275" s="30">
        <f>Source!AL119</f>
        <v>15710.48</v>
      </c>
      <c r="G275" s="29">
        <f>Source!DD119</f>
      </c>
      <c r="H275" s="9">
        <f>Source!AW119</f>
        <v>1</v>
      </c>
      <c r="I275" s="9">
        <f>IF(Source!BC119&lt;&gt;0,Source!BC119,1)</f>
        <v>1</v>
      </c>
      <c r="J275" s="31">
        <f>Source!P119</f>
        <v>2827.89</v>
      </c>
      <c r="K275" s="31"/>
    </row>
    <row r="276" spans="1:11" ht="14.25">
      <c r="A276" s="26"/>
      <c r="B276" s="27"/>
      <c r="C276" s="27" t="s">
        <v>479</v>
      </c>
      <c r="D276" s="28" t="s">
        <v>480</v>
      </c>
      <c r="E276" s="9">
        <f>Source!AT119</f>
        <v>70</v>
      </c>
      <c r="F276" s="30"/>
      <c r="G276" s="29"/>
      <c r="H276" s="9"/>
      <c r="I276" s="9"/>
      <c r="J276" s="31">
        <f>SUM(R273:R275)</f>
        <v>970.89</v>
      </c>
      <c r="K276" s="31"/>
    </row>
    <row r="277" spans="1:11" ht="14.25">
      <c r="A277" s="26"/>
      <c r="B277" s="27"/>
      <c r="C277" s="27" t="s">
        <v>481</v>
      </c>
      <c r="D277" s="28" t="s">
        <v>480</v>
      </c>
      <c r="E277" s="9">
        <f>Source!AU119</f>
        <v>10</v>
      </c>
      <c r="F277" s="30"/>
      <c r="G277" s="29"/>
      <c r="H277" s="9"/>
      <c r="I277" s="9"/>
      <c r="J277" s="31">
        <f>SUM(T273:T276)</f>
        <v>138.7</v>
      </c>
      <c r="K277" s="31"/>
    </row>
    <row r="278" spans="1:11" ht="14.25">
      <c r="A278" s="26"/>
      <c r="B278" s="27"/>
      <c r="C278" s="27" t="s">
        <v>482</v>
      </c>
      <c r="D278" s="28" t="s">
        <v>483</v>
      </c>
      <c r="E278" s="9">
        <f>Source!AQ119</f>
        <v>46.19</v>
      </c>
      <c r="F278" s="30"/>
      <c r="G278" s="29">
        <f>Source!DI119</f>
      </c>
      <c r="H278" s="9">
        <f>Source!AV119</f>
        <v>1</v>
      </c>
      <c r="I278" s="9"/>
      <c r="J278" s="31"/>
      <c r="K278" s="31">
        <f>Source!U119</f>
        <v>8.3142</v>
      </c>
    </row>
    <row r="279" spans="1:16" ht="15">
      <c r="A279" s="35"/>
      <c r="B279" s="35"/>
      <c r="C279" s="35"/>
      <c r="D279" s="35"/>
      <c r="E279" s="35"/>
      <c r="F279" s="35"/>
      <c r="G279" s="35"/>
      <c r="H279" s="35"/>
      <c r="I279" s="77">
        <f>J274+J275+J276+J277</f>
        <v>5324.46</v>
      </c>
      <c r="J279" s="77"/>
      <c r="K279" s="36">
        <f>IF(Source!I119&lt;&gt;0,ROUND(I279/Source!I119,2),0)</f>
        <v>29580.33</v>
      </c>
      <c r="P279" s="33">
        <f>I279</f>
        <v>5324.46</v>
      </c>
    </row>
    <row r="280" spans="1:22" ht="28.5">
      <c r="A280" s="26" t="str">
        <f>Source!E120</f>
        <v>6</v>
      </c>
      <c r="B280" s="27" t="str">
        <f>Source!F120</f>
        <v>1.18-3304-1-2/1</v>
      </c>
      <c r="C280" s="27" t="str">
        <f>Source!G120</f>
        <v>Демонтаж центробежных вентиляторов массой до 0,12 т</v>
      </c>
      <c r="D280" s="28" t="str">
        <f>Source!H120</f>
        <v>10 шт.</v>
      </c>
      <c r="E280" s="9">
        <f>Source!I120</f>
        <v>0.2</v>
      </c>
      <c r="F280" s="30"/>
      <c r="G280" s="29"/>
      <c r="H280" s="9"/>
      <c r="I280" s="9"/>
      <c r="J280" s="31"/>
      <c r="K280" s="31"/>
      <c r="Q280">
        <f>ROUND((Source!BZ120/100)*ROUND((Source!AF120*Source!AV120)*Source!I120,2),2)</f>
        <v>1799.27</v>
      </c>
      <c r="R280">
        <f>Source!X120</f>
        <v>1799.27</v>
      </c>
      <c r="S280">
        <f>ROUND((Source!CA120/100)*ROUND((Source!AF120*Source!AV120)*Source!I120,2),2)</f>
        <v>257.04</v>
      </c>
      <c r="T280">
        <f>Source!Y120</f>
        <v>257.04</v>
      </c>
      <c r="U280">
        <f>ROUND((175/100)*ROUND((Source!AE120*Source!AV120)*Source!I120,2),2)</f>
        <v>0</v>
      </c>
      <c r="V280">
        <f>ROUND((108/100)*ROUND(Source!CS120*Source!I120,2),2)</f>
        <v>0</v>
      </c>
    </row>
    <row r="281" spans="1:11" ht="14.25">
      <c r="A281" s="26"/>
      <c r="B281" s="27"/>
      <c r="C281" s="27" t="s">
        <v>476</v>
      </c>
      <c r="D281" s="28"/>
      <c r="E281" s="9"/>
      <c r="F281" s="30">
        <f>Source!AO120</f>
        <v>12851.94</v>
      </c>
      <c r="G281" s="29">
        <f>Source!DG120</f>
      </c>
      <c r="H281" s="9">
        <f>Source!AV120</f>
        <v>1</v>
      </c>
      <c r="I281" s="9">
        <f>IF(Source!BA120&lt;&gt;0,Source!BA120,1)</f>
        <v>1</v>
      </c>
      <c r="J281" s="31">
        <f>Source!S120</f>
        <v>2570.39</v>
      </c>
      <c r="K281" s="31"/>
    </row>
    <row r="282" spans="1:11" ht="14.25">
      <c r="A282" s="26"/>
      <c r="B282" s="27"/>
      <c r="C282" s="27" t="s">
        <v>479</v>
      </c>
      <c r="D282" s="28" t="s">
        <v>480</v>
      </c>
      <c r="E282" s="9">
        <f>Source!AT120</f>
        <v>70</v>
      </c>
      <c r="F282" s="30"/>
      <c r="G282" s="29"/>
      <c r="H282" s="9"/>
      <c r="I282" s="9"/>
      <c r="J282" s="31">
        <f>SUM(R280:R281)</f>
        <v>1799.27</v>
      </c>
      <c r="K282" s="31"/>
    </row>
    <row r="283" spans="1:11" ht="14.25">
      <c r="A283" s="26"/>
      <c r="B283" s="27"/>
      <c r="C283" s="27" t="s">
        <v>481</v>
      </c>
      <c r="D283" s="28" t="s">
        <v>480</v>
      </c>
      <c r="E283" s="9">
        <f>Source!AU120</f>
        <v>10</v>
      </c>
      <c r="F283" s="30"/>
      <c r="G283" s="29"/>
      <c r="H283" s="9"/>
      <c r="I283" s="9"/>
      <c r="J283" s="31">
        <f>SUM(T280:T282)</f>
        <v>257.04</v>
      </c>
      <c r="K283" s="31"/>
    </row>
    <row r="284" spans="1:11" ht="14.25">
      <c r="A284" s="26"/>
      <c r="B284" s="27"/>
      <c r="C284" s="27" t="s">
        <v>482</v>
      </c>
      <c r="D284" s="28" t="s">
        <v>483</v>
      </c>
      <c r="E284" s="9">
        <f>Source!AQ120</f>
        <v>69</v>
      </c>
      <c r="F284" s="30"/>
      <c r="G284" s="29">
        <f>Source!DI120</f>
      </c>
      <c r="H284" s="9">
        <f>Source!AV120</f>
        <v>1</v>
      </c>
      <c r="I284" s="9"/>
      <c r="J284" s="31"/>
      <c r="K284" s="31">
        <f>Source!U120</f>
        <v>13.8</v>
      </c>
    </row>
    <row r="285" spans="1:16" ht="15">
      <c r="A285" s="35"/>
      <c r="B285" s="35"/>
      <c r="C285" s="35"/>
      <c r="D285" s="35"/>
      <c r="E285" s="35"/>
      <c r="F285" s="35"/>
      <c r="G285" s="35"/>
      <c r="H285" s="35"/>
      <c r="I285" s="77">
        <f>J281+J282+J283</f>
        <v>4626.7</v>
      </c>
      <c r="J285" s="77"/>
      <c r="K285" s="36">
        <f>IF(Source!I120&lt;&gt;0,ROUND(I285/Source!I120,2),0)</f>
        <v>23133.5</v>
      </c>
      <c r="P285" s="33">
        <f>I285</f>
        <v>4626.7</v>
      </c>
    </row>
    <row r="287" spans="1:32" ht="15">
      <c r="A287" s="80" t="str">
        <f>CONCATENATE("Итого по разделу: ",IF(Source!G122&lt;&gt;"Новый раздел",Source!G122,""))</f>
        <v>Итого по разделу: Демонтажные работы</v>
      </c>
      <c r="B287" s="80"/>
      <c r="C287" s="80"/>
      <c r="D287" s="80"/>
      <c r="E287" s="80"/>
      <c r="F287" s="80"/>
      <c r="G287" s="80"/>
      <c r="H287" s="80"/>
      <c r="I287" s="78">
        <f>SUM(P248:P286)</f>
        <v>27018.69</v>
      </c>
      <c r="J287" s="79"/>
      <c r="K287" s="38"/>
      <c r="AF287" s="39" t="str">
        <f>CONCATENATE("Итого по разделу: ",IF(Source!G122&lt;&gt;"Новый раздел",Source!G122,""))</f>
        <v>Итого по разделу: Демонтажные работы</v>
      </c>
    </row>
    <row r="290" spans="1:31" ht="16.5">
      <c r="A290" s="76" t="str">
        <f>CONCATENATE("Раздел: ",IF(Source!G148&lt;&gt;"Новый раздел",Source!G148,""))</f>
        <v>Раздел: Строительные работы</v>
      </c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AE290" s="25" t="str">
        <f>CONCATENATE("Раздел: ",IF(Source!G148&lt;&gt;"Новый раздел",Source!G148,""))</f>
        <v>Раздел: Строительные работы</v>
      </c>
    </row>
    <row r="291" spans="1:22" ht="57">
      <c r="A291" s="26" t="str">
        <f>Source!E152</f>
        <v>1</v>
      </c>
      <c r="B291" s="27" t="str">
        <f>Source!F152</f>
        <v>1.13-3205-6-1/1</v>
      </c>
      <c r="C291" s="27" t="str">
        <f>Source!G152</f>
        <v>Устройство огнезащитного покрытия воздуховодов приточно-вытяжных систем составом "Файрекс-300" с пределом огнестойкости 0,5 часа</v>
      </c>
      <c r="D291" s="28" t="str">
        <f>Source!H152</f>
        <v>100 м2</v>
      </c>
      <c r="E291" s="9">
        <f>Source!I152</f>
        <v>0.155</v>
      </c>
      <c r="F291" s="30"/>
      <c r="G291" s="29"/>
      <c r="H291" s="9"/>
      <c r="I291" s="9"/>
      <c r="J291" s="31"/>
      <c r="K291" s="31"/>
      <c r="Q291">
        <f>ROUND((Source!BZ152/100)*ROUND((Source!AF152*Source!AV152)*Source!I152,2),2)</f>
        <v>5944.86</v>
      </c>
      <c r="R291">
        <f>Source!X152</f>
        <v>5944.86</v>
      </c>
      <c r="S291">
        <f>ROUND((Source!CA152/100)*ROUND((Source!AF152*Source!AV152)*Source!I152,2),2)</f>
        <v>849.27</v>
      </c>
      <c r="T291">
        <f>Source!Y152</f>
        <v>849.27</v>
      </c>
      <c r="U291">
        <f>ROUND((175/100)*ROUND((Source!AE152*Source!AV152)*Source!I152,2),2)</f>
        <v>5166.86</v>
      </c>
      <c r="V291">
        <f>ROUND((108/100)*ROUND(Source!CS152*Source!I152,2),2)</f>
        <v>3188.69</v>
      </c>
    </row>
    <row r="292" spans="1:11" ht="14.25">
      <c r="A292" s="26"/>
      <c r="B292" s="27"/>
      <c r="C292" s="27" t="s">
        <v>476</v>
      </c>
      <c r="D292" s="28"/>
      <c r="E292" s="9"/>
      <c r="F292" s="30">
        <f>Source!AO152</f>
        <v>54791.28</v>
      </c>
      <c r="G292" s="29">
        <f>Source!DG152</f>
      </c>
      <c r="H292" s="9">
        <f>Source!AV152</f>
        <v>1</v>
      </c>
      <c r="I292" s="9">
        <f>IF(Source!BA152&lt;&gt;0,Source!BA152,1)</f>
        <v>1</v>
      </c>
      <c r="J292" s="31">
        <f>Source!S152</f>
        <v>8492.65</v>
      </c>
      <c r="K292" s="31"/>
    </row>
    <row r="293" spans="1:11" ht="14.25">
      <c r="A293" s="26"/>
      <c r="B293" s="27"/>
      <c r="C293" s="27" t="s">
        <v>484</v>
      </c>
      <c r="D293" s="28"/>
      <c r="E293" s="9"/>
      <c r="F293" s="30">
        <f>Source!AM152</f>
        <v>45764.26</v>
      </c>
      <c r="G293" s="29">
        <f>Source!DE152</f>
      </c>
      <c r="H293" s="9">
        <f>Source!AV152</f>
        <v>1</v>
      </c>
      <c r="I293" s="9">
        <f>IF(Source!BB152&lt;&gt;0,Source!BB152,1)</f>
        <v>1</v>
      </c>
      <c r="J293" s="31">
        <f>Source!Q152</f>
        <v>7093.46</v>
      </c>
      <c r="K293" s="31"/>
    </row>
    <row r="294" spans="1:11" ht="14.25">
      <c r="A294" s="26"/>
      <c r="B294" s="27"/>
      <c r="C294" s="27" t="s">
        <v>485</v>
      </c>
      <c r="D294" s="28"/>
      <c r="E294" s="9"/>
      <c r="F294" s="30">
        <f>Source!AN152</f>
        <v>19048.31</v>
      </c>
      <c r="G294" s="29">
        <f>Source!DF152</f>
      </c>
      <c r="H294" s="9">
        <f>Source!AV152</f>
        <v>1</v>
      </c>
      <c r="I294" s="9">
        <f>IF(Source!BS152&lt;&gt;0,Source!BS152,1)</f>
        <v>1</v>
      </c>
      <c r="J294" s="37">
        <f>Source!R152</f>
        <v>2952.49</v>
      </c>
      <c r="K294" s="31"/>
    </row>
    <row r="295" spans="1:11" ht="14.25">
      <c r="A295" s="26"/>
      <c r="B295" s="27"/>
      <c r="C295" s="27" t="s">
        <v>477</v>
      </c>
      <c r="D295" s="28"/>
      <c r="E295" s="9"/>
      <c r="F295" s="30">
        <f>Source!AL152</f>
        <v>75052.32</v>
      </c>
      <c r="G295" s="29">
        <f>Source!DD152</f>
      </c>
      <c r="H295" s="9">
        <f>Source!AW152</f>
        <v>1</v>
      </c>
      <c r="I295" s="9">
        <f>IF(Source!BC152&lt;&gt;0,Source!BC152,1)</f>
        <v>1</v>
      </c>
      <c r="J295" s="31">
        <f>Source!P152</f>
        <v>11633.11</v>
      </c>
      <c r="K295" s="31"/>
    </row>
    <row r="296" spans="1:11" ht="14.25">
      <c r="A296" s="26"/>
      <c r="B296" s="27"/>
      <c r="C296" s="27" t="s">
        <v>479</v>
      </c>
      <c r="D296" s="28" t="s">
        <v>480</v>
      </c>
      <c r="E296" s="9">
        <f>Source!AT152</f>
        <v>70</v>
      </c>
      <c r="F296" s="30"/>
      <c r="G296" s="29"/>
      <c r="H296" s="9"/>
      <c r="I296" s="9"/>
      <c r="J296" s="31">
        <f>SUM(R291:R295)</f>
        <v>5944.86</v>
      </c>
      <c r="K296" s="31"/>
    </row>
    <row r="297" spans="1:11" ht="14.25">
      <c r="A297" s="26"/>
      <c r="B297" s="27"/>
      <c r="C297" s="27" t="s">
        <v>481</v>
      </c>
      <c r="D297" s="28" t="s">
        <v>480</v>
      </c>
      <c r="E297" s="9">
        <f>Source!AU152</f>
        <v>10</v>
      </c>
      <c r="F297" s="30"/>
      <c r="G297" s="29"/>
      <c r="H297" s="9"/>
      <c r="I297" s="9"/>
      <c r="J297" s="31">
        <f>SUM(T291:T296)</f>
        <v>849.27</v>
      </c>
      <c r="K297" s="31"/>
    </row>
    <row r="298" spans="1:11" ht="14.25">
      <c r="A298" s="26"/>
      <c r="B298" s="27"/>
      <c r="C298" s="27" t="s">
        <v>486</v>
      </c>
      <c r="D298" s="28" t="s">
        <v>480</v>
      </c>
      <c r="E298" s="9">
        <f>108</f>
        <v>108</v>
      </c>
      <c r="F298" s="30"/>
      <c r="G298" s="29"/>
      <c r="H298" s="9"/>
      <c r="I298" s="9"/>
      <c r="J298" s="31">
        <f>SUM(V291:V297)</f>
        <v>3188.69</v>
      </c>
      <c r="K298" s="31"/>
    </row>
    <row r="299" spans="1:11" ht="14.25">
      <c r="A299" s="26"/>
      <c r="B299" s="27"/>
      <c r="C299" s="27" t="s">
        <v>482</v>
      </c>
      <c r="D299" s="28" t="s">
        <v>483</v>
      </c>
      <c r="E299" s="9">
        <f>Source!AQ152</f>
        <v>283.52</v>
      </c>
      <c r="F299" s="30"/>
      <c r="G299" s="29">
        <f>Source!DI152</f>
      </c>
      <c r="H299" s="9">
        <f>Source!AV152</f>
        <v>1</v>
      </c>
      <c r="I299" s="9"/>
      <c r="J299" s="31"/>
      <c r="K299" s="31">
        <f>Source!U152</f>
        <v>43.9456</v>
      </c>
    </row>
    <row r="300" spans="1:16" ht="15">
      <c r="A300" s="35"/>
      <c r="B300" s="35"/>
      <c r="C300" s="35"/>
      <c r="D300" s="35"/>
      <c r="E300" s="35"/>
      <c r="F300" s="35"/>
      <c r="G300" s="35"/>
      <c r="H300" s="35"/>
      <c r="I300" s="77">
        <f>J292+J293+J295+J296+J297+J298</f>
        <v>37202.04</v>
      </c>
      <c r="J300" s="77"/>
      <c r="K300" s="36">
        <f>IF(Source!I152&lt;&gt;0,ROUND(I300/Source!I152,2),0)</f>
        <v>240013.16</v>
      </c>
      <c r="P300" s="33">
        <f>I300</f>
        <v>37202.04</v>
      </c>
    </row>
    <row r="301" spans="1:22" ht="42.75">
      <c r="A301" s="26" t="str">
        <f>Source!E153</f>
        <v>2</v>
      </c>
      <c r="B301" s="27" t="str">
        <f>Source!F153</f>
        <v>1.18-3101-1-1/1</v>
      </c>
      <c r="C301" s="27" t="str">
        <f>Source!G153</f>
        <v>Ремонт вентиляционных коробов и каналов - прочистка каналов с пробивкой и заделкой отверстий</v>
      </c>
      <c r="D301" s="28" t="str">
        <f>Source!H153</f>
        <v>100 м</v>
      </c>
      <c r="E301" s="9">
        <f>Source!I153</f>
        <v>3.05</v>
      </c>
      <c r="F301" s="30"/>
      <c r="G301" s="29"/>
      <c r="H301" s="9"/>
      <c r="I301" s="9"/>
      <c r="J301" s="31"/>
      <c r="K301" s="31"/>
      <c r="Q301">
        <f>ROUND((Source!BZ153/100)*ROUND((Source!AF153*Source!AV153)*Source!I153,2),2)</f>
        <v>7226.98</v>
      </c>
      <c r="R301">
        <f>Source!X153</f>
        <v>7226.98</v>
      </c>
      <c r="S301">
        <f>ROUND((Source!CA153/100)*ROUND((Source!AF153*Source!AV153)*Source!I153,2),2)</f>
        <v>1032.43</v>
      </c>
      <c r="T301">
        <f>Source!Y153</f>
        <v>1032.43</v>
      </c>
      <c r="U301">
        <f>ROUND((175/100)*ROUND((Source!AE153*Source!AV153)*Source!I153,2),2)</f>
        <v>0</v>
      </c>
      <c r="V301">
        <f>ROUND((108/100)*ROUND(Source!CS153*Source!I153,2),2)</f>
        <v>0</v>
      </c>
    </row>
    <row r="302" spans="1:11" ht="14.25">
      <c r="A302" s="26"/>
      <c r="B302" s="27"/>
      <c r="C302" s="27" t="s">
        <v>476</v>
      </c>
      <c r="D302" s="28"/>
      <c r="E302" s="9"/>
      <c r="F302" s="30">
        <f>Source!AO153</f>
        <v>3385</v>
      </c>
      <c r="G302" s="29">
        <f>Source!DG153</f>
      </c>
      <c r="H302" s="9">
        <f>Source!AV153</f>
        <v>1</v>
      </c>
      <c r="I302" s="9">
        <f>IF(Source!BA153&lt;&gt;0,Source!BA153,1)</f>
        <v>1</v>
      </c>
      <c r="J302" s="31">
        <f>Source!S153</f>
        <v>10324.25</v>
      </c>
      <c r="K302" s="31"/>
    </row>
    <row r="303" spans="1:11" ht="14.25">
      <c r="A303" s="26"/>
      <c r="B303" s="27"/>
      <c r="C303" s="27" t="s">
        <v>477</v>
      </c>
      <c r="D303" s="28"/>
      <c r="E303" s="9"/>
      <c r="F303" s="30">
        <f>Source!AL153</f>
        <v>688.03</v>
      </c>
      <c r="G303" s="29">
        <f>Source!DD153</f>
      </c>
      <c r="H303" s="9">
        <f>Source!AW153</f>
        <v>1</v>
      </c>
      <c r="I303" s="9">
        <f>IF(Source!BC153&lt;&gt;0,Source!BC153,1)</f>
        <v>1</v>
      </c>
      <c r="J303" s="31">
        <f>Source!P153</f>
        <v>2098.49</v>
      </c>
      <c r="K303" s="31"/>
    </row>
    <row r="304" spans="1:11" ht="14.25">
      <c r="A304" s="26"/>
      <c r="B304" s="27"/>
      <c r="C304" s="27" t="s">
        <v>479</v>
      </c>
      <c r="D304" s="28" t="s">
        <v>480</v>
      </c>
      <c r="E304" s="9">
        <f>Source!AT153</f>
        <v>70</v>
      </c>
      <c r="F304" s="30"/>
      <c r="G304" s="29"/>
      <c r="H304" s="9"/>
      <c r="I304" s="9"/>
      <c r="J304" s="31">
        <f>SUM(R301:R303)</f>
        <v>7226.98</v>
      </c>
      <c r="K304" s="31"/>
    </row>
    <row r="305" spans="1:11" ht="14.25">
      <c r="A305" s="26"/>
      <c r="B305" s="27"/>
      <c r="C305" s="27" t="s">
        <v>481</v>
      </c>
      <c r="D305" s="28" t="s">
        <v>480</v>
      </c>
      <c r="E305" s="9">
        <f>Source!AU153</f>
        <v>10</v>
      </c>
      <c r="F305" s="30"/>
      <c r="G305" s="29"/>
      <c r="H305" s="9"/>
      <c r="I305" s="9"/>
      <c r="J305" s="31">
        <f>SUM(T301:T304)</f>
        <v>1032.43</v>
      </c>
      <c r="K305" s="31"/>
    </row>
    <row r="306" spans="1:11" ht="14.25">
      <c r="A306" s="26"/>
      <c r="B306" s="27"/>
      <c r="C306" s="27" t="s">
        <v>482</v>
      </c>
      <c r="D306" s="28" t="s">
        <v>483</v>
      </c>
      <c r="E306" s="9">
        <f>Source!AQ153</f>
        <v>20.73</v>
      </c>
      <c r="F306" s="30"/>
      <c r="G306" s="29">
        <f>Source!DI153</f>
      </c>
      <c r="H306" s="9">
        <f>Source!AV153</f>
        <v>1</v>
      </c>
      <c r="I306" s="9"/>
      <c r="J306" s="31"/>
      <c r="K306" s="31">
        <f>Source!U153</f>
        <v>63.226499999999994</v>
      </c>
    </row>
    <row r="307" spans="1:16" ht="15">
      <c r="A307" s="35"/>
      <c r="B307" s="35"/>
      <c r="C307" s="35"/>
      <c r="D307" s="35"/>
      <c r="E307" s="35"/>
      <c r="F307" s="35"/>
      <c r="G307" s="35"/>
      <c r="H307" s="35"/>
      <c r="I307" s="77">
        <f>J302+J303+J304+J305</f>
        <v>20682.15</v>
      </c>
      <c r="J307" s="77"/>
      <c r="K307" s="36">
        <f>IF(Source!I153&lt;&gt;0,ROUND(I307/Source!I153,2),0)</f>
        <v>6781.03</v>
      </c>
      <c r="P307" s="33">
        <f>I307</f>
        <v>20682.15</v>
      </c>
    </row>
    <row r="309" spans="1:32" ht="15">
      <c r="A309" s="80" t="str">
        <f>CONCATENATE("Итого по разделу: ",IF(Source!G155&lt;&gt;"Новый раздел",Source!G155,""))</f>
        <v>Итого по разделу: Строительные работы</v>
      </c>
      <c r="B309" s="80"/>
      <c r="C309" s="80"/>
      <c r="D309" s="80"/>
      <c r="E309" s="80"/>
      <c r="F309" s="80"/>
      <c r="G309" s="80"/>
      <c r="H309" s="80"/>
      <c r="I309" s="78">
        <f>SUM(P290:P308)</f>
        <v>57884.19</v>
      </c>
      <c r="J309" s="79"/>
      <c r="K309" s="38"/>
      <c r="AF309" s="39" t="str">
        <f>CONCATENATE("Итого по разделу: ",IF(Source!G155&lt;&gt;"Новый раздел",Source!G155,""))</f>
        <v>Итого по разделу: Строительные работы</v>
      </c>
    </row>
    <row r="312" spans="1:32" ht="15">
      <c r="A312" s="80" t="str">
        <f>CONCATENATE("Итого по локальной смете: ",IF(Source!G181&lt;&gt;"Новая локальная смета",Source!G181,""))</f>
        <v>Итого по локальной смете: </v>
      </c>
      <c r="B312" s="80"/>
      <c r="C312" s="80"/>
      <c r="D312" s="80"/>
      <c r="E312" s="80"/>
      <c r="F312" s="80"/>
      <c r="G312" s="80"/>
      <c r="H312" s="80"/>
      <c r="I312" s="78">
        <f>SUM(P31:P311)</f>
        <v>848729.6199999999</v>
      </c>
      <c r="J312" s="79"/>
      <c r="K312" s="38"/>
      <c r="AF312" s="39" t="str">
        <f>CONCATENATE("Итого по локальной смете: ",IF(Source!G181&lt;&gt;"Новая локальная смета",Source!G181,""))</f>
        <v>Итого по локальной смете: </v>
      </c>
    </row>
    <row r="315" spans="1:32" ht="15">
      <c r="A315" s="80" t="str">
        <f>CONCATENATE("Итого по смете: ",IF(Source!G207&lt;&gt;"Новый объект",Source!G207,""))</f>
        <v>Итого по смете: ГБОУ Школа №305" по адресу : проезд Черского, дом 27А  Вентиляция</v>
      </c>
      <c r="B315" s="80"/>
      <c r="C315" s="80"/>
      <c r="D315" s="80"/>
      <c r="E315" s="80"/>
      <c r="F315" s="80"/>
      <c r="G315" s="80"/>
      <c r="H315" s="80"/>
      <c r="I315" s="78">
        <f>SUM(P1:P314)</f>
        <v>848729.6199999999</v>
      </c>
      <c r="J315" s="79"/>
      <c r="K315" s="38"/>
      <c r="AF315" s="39" t="str">
        <f>CONCATENATE("Итого по смете: ",IF(Source!G207&lt;&gt;"Новый объект",Source!G207,""))</f>
        <v>Итого по смете: ГБОУ Школа №305" по адресу : проезд Черского, дом 27А  Вентиляция</v>
      </c>
    </row>
    <row r="316" spans="3:34" ht="14.25">
      <c r="C316" s="72" t="str">
        <f>Source!H232</f>
        <v>НДС 18%</v>
      </c>
      <c r="D316" s="72"/>
      <c r="E316" s="72"/>
      <c r="F316" s="72"/>
      <c r="G316" s="72"/>
      <c r="H316" s="72"/>
      <c r="I316" s="73">
        <f>IF(Source!F232=0,"",Source!F232)</f>
        <v>152771.33</v>
      </c>
      <c r="J316" s="73"/>
      <c r="AH316" s="40" t="s">
        <v>285</v>
      </c>
    </row>
    <row r="317" spans="3:34" ht="14.25">
      <c r="C317" s="72" t="str">
        <f>Source!H233</f>
        <v>Итого с НДС</v>
      </c>
      <c r="D317" s="72"/>
      <c r="E317" s="72"/>
      <c r="F317" s="72"/>
      <c r="G317" s="72"/>
      <c r="H317" s="72"/>
      <c r="I317" s="73">
        <f>IF(Source!F233=0,"",Source!F233)</f>
        <v>1001500.95</v>
      </c>
      <c r="J317" s="73"/>
      <c r="AH317" s="40" t="s">
        <v>287</v>
      </c>
    </row>
    <row r="318" spans="3:34" ht="14.25">
      <c r="C318" s="72" t="str">
        <f>Source!H234</f>
        <v>Возврат лома (негабаритный чугунный лом и отходы) 0,08 тн х 8063руб.</v>
      </c>
      <c r="D318" s="72"/>
      <c r="E318" s="72"/>
      <c r="F318" s="72"/>
      <c r="G318" s="72"/>
      <c r="H318" s="72"/>
      <c r="I318" s="83">
        <f>IF(Source!F234=0,"",Source!F234)</f>
        <v>645.04</v>
      </c>
      <c r="J318" s="83"/>
      <c r="AH318" s="40" t="s">
        <v>288</v>
      </c>
    </row>
    <row r="320" spans="1:10" ht="12.75">
      <c r="A320" t="s">
        <v>553</v>
      </c>
      <c r="J320">
        <v>710607.71</v>
      </c>
    </row>
    <row r="322" spans="1:11" ht="14.25">
      <c r="A322" s="81" t="s">
        <v>493</v>
      </c>
      <c r="B322" s="81"/>
      <c r="C322" s="41" t="str">
        <f>IF(Source!AC12&lt;&gt;"",Source!AC12," ")</f>
        <v> </v>
      </c>
      <c r="D322" s="41"/>
      <c r="E322" s="41"/>
      <c r="F322" s="41"/>
      <c r="G322" s="41"/>
      <c r="H322" s="10" t="str">
        <f>IF(Source!AB12&lt;&gt;"",Source!AB12," ")</f>
        <v> </v>
      </c>
      <c r="I322" s="10"/>
      <c r="J322" s="10"/>
      <c r="K322" s="10"/>
    </row>
    <row r="323" spans="1:11" ht="14.25">
      <c r="A323" s="10"/>
      <c r="B323" s="10"/>
      <c r="C323" s="82" t="s">
        <v>494</v>
      </c>
      <c r="D323" s="82"/>
      <c r="E323" s="82"/>
      <c r="F323" s="82"/>
      <c r="G323" s="82"/>
      <c r="H323" s="10"/>
      <c r="I323" s="10"/>
      <c r="J323" s="10"/>
      <c r="K323" s="10"/>
    </row>
    <row r="324" spans="1:11" ht="14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4.25">
      <c r="A325" s="81" t="s">
        <v>495</v>
      </c>
      <c r="B325" s="81"/>
      <c r="C325" s="41" t="str">
        <f>IF(Source!AE12&lt;&gt;"",Source!AE12," ")</f>
        <v> </v>
      </c>
      <c r="D325" s="41"/>
      <c r="E325" s="41"/>
      <c r="F325" s="41"/>
      <c r="G325" s="41"/>
      <c r="H325" s="10" t="str">
        <f>IF(Source!AD12&lt;&gt;"",Source!AD12," ")</f>
        <v> </v>
      </c>
      <c r="I325" s="10"/>
      <c r="J325" s="10"/>
      <c r="K325" s="10"/>
    </row>
    <row r="326" spans="1:11" ht="14.25">
      <c r="A326" s="10"/>
      <c r="B326" s="10"/>
      <c r="C326" s="82" t="s">
        <v>494</v>
      </c>
      <c r="D326" s="82"/>
      <c r="E326" s="82"/>
      <c r="F326" s="82"/>
      <c r="G326" s="82"/>
      <c r="H326" s="10"/>
      <c r="I326" s="10"/>
      <c r="J326" s="10"/>
      <c r="K326" s="10"/>
    </row>
  </sheetData>
  <sheetProtection/>
  <mergeCells count="87">
    <mergeCell ref="A322:B322"/>
    <mergeCell ref="C323:G323"/>
    <mergeCell ref="A325:B325"/>
    <mergeCell ref="C326:G326"/>
    <mergeCell ref="C316:H316"/>
    <mergeCell ref="I316:J316"/>
    <mergeCell ref="C317:H317"/>
    <mergeCell ref="I317:J317"/>
    <mergeCell ref="C318:H318"/>
    <mergeCell ref="I318:J318"/>
    <mergeCell ref="I309:J309"/>
    <mergeCell ref="A309:H309"/>
    <mergeCell ref="I312:J312"/>
    <mergeCell ref="A312:H312"/>
    <mergeCell ref="I315:J315"/>
    <mergeCell ref="A315:H315"/>
    <mergeCell ref="I285:J285"/>
    <mergeCell ref="I287:J287"/>
    <mergeCell ref="A287:H287"/>
    <mergeCell ref="A290:K290"/>
    <mergeCell ref="I300:J300"/>
    <mergeCell ref="I307:J307"/>
    <mergeCell ref="A248:K248"/>
    <mergeCell ref="I254:J254"/>
    <mergeCell ref="I260:J260"/>
    <mergeCell ref="I266:J266"/>
    <mergeCell ref="I272:J272"/>
    <mergeCell ref="I279:J279"/>
    <mergeCell ref="I220:J220"/>
    <mergeCell ref="I228:J228"/>
    <mergeCell ref="I235:J235"/>
    <mergeCell ref="I243:J243"/>
    <mergeCell ref="I245:J245"/>
    <mergeCell ref="A245:H245"/>
    <mergeCell ref="I154:J154"/>
    <mergeCell ref="I165:J165"/>
    <mergeCell ref="I176:J176"/>
    <mergeCell ref="I187:J187"/>
    <mergeCell ref="I198:J198"/>
    <mergeCell ref="I209:J209"/>
    <mergeCell ref="I78:J78"/>
    <mergeCell ref="I93:J93"/>
    <mergeCell ref="I106:J106"/>
    <mergeCell ref="I119:J119"/>
    <mergeCell ref="I132:J132"/>
    <mergeCell ref="I141:J141"/>
    <mergeCell ref="I27:I29"/>
    <mergeCell ref="J27:J29"/>
    <mergeCell ref="A32:K32"/>
    <mergeCell ref="I40:J40"/>
    <mergeCell ref="I56:J56"/>
    <mergeCell ref="I67:J67"/>
    <mergeCell ref="F25:H25"/>
    <mergeCell ref="I25:J25"/>
    <mergeCell ref="A27:A29"/>
    <mergeCell ref="B27:B29"/>
    <mergeCell ref="C27:C29"/>
    <mergeCell ref="D27:D29"/>
    <mergeCell ref="E27:E29"/>
    <mergeCell ref="F27:F29"/>
    <mergeCell ref="G27:G29"/>
    <mergeCell ref="H27:H29"/>
    <mergeCell ref="F22:H22"/>
    <mergeCell ref="I22:J22"/>
    <mergeCell ref="F23:H23"/>
    <mergeCell ref="I23:J23"/>
    <mergeCell ref="F24:H24"/>
    <mergeCell ref="I24:J24"/>
    <mergeCell ref="A15:K15"/>
    <mergeCell ref="A16:K16"/>
    <mergeCell ref="A18:K18"/>
    <mergeCell ref="F20:H20"/>
    <mergeCell ref="I20:J20"/>
    <mergeCell ref="F21:H21"/>
    <mergeCell ref="I21:J21"/>
    <mergeCell ref="A11:K11"/>
    <mergeCell ref="A13:K13"/>
    <mergeCell ref="B3:E3"/>
    <mergeCell ref="G3:K3"/>
    <mergeCell ref="B4:E4"/>
    <mergeCell ref="G4:K4"/>
    <mergeCell ref="B6:E6"/>
    <mergeCell ref="G6:K6"/>
    <mergeCell ref="B7:E7"/>
    <mergeCell ref="G7:K7"/>
    <mergeCell ref="J2:K2"/>
    <mergeCell ref="A10:K10"/>
  </mergeCells>
  <printOptions/>
  <pageMargins left="0.4" right="0.2" top="0.2" bottom="0.4" header="0.2" footer="0.2"/>
  <pageSetup horizontalDpi="600" verticalDpi="600" orientation="portrait" paperSize="9" scale="6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customWidth="1"/>
    <col min="31" max="31" width="129.7109375" style="0" customWidth="1"/>
  </cols>
  <sheetData>
    <row r="1" spans="1:5" ht="14.25">
      <c r="A1" s="10"/>
      <c r="B1" s="10"/>
      <c r="C1" s="10"/>
      <c r="D1" s="10"/>
      <c r="E1" s="10"/>
    </row>
    <row r="2" spans="1:5" ht="15">
      <c r="A2" s="10"/>
      <c r="B2" s="10"/>
      <c r="C2" s="79" t="s">
        <v>452</v>
      </c>
      <c r="D2" s="79"/>
      <c r="E2" s="10"/>
    </row>
    <row r="3" spans="1:5" ht="15">
      <c r="A3" s="10"/>
      <c r="B3" s="10"/>
      <c r="C3" s="34"/>
      <c r="D3" s="34"/>
      <c r="E3" s="10"/>
    </row>
    <row r="4" spans="1:5" ht="15">
      <c r="A4" s="10"/>
      <c r="B4" s="10"/>
      <c r="C4" s="85"/>
      <c r="D4" s="85"/>
      <c r="E4" s="10"/>
    </row>
    <row r="5" spans="1:5" ht="15">
      <c r="A5" s="10"/>
      <c r="B5" s="10"/>
      <c r="C5" s="42"/>
      <c r="D5" s="42"/>
      <c r="E5" s="10"/>
    </row>
    <row r="6" spans="1:5" ht="15">
      <c r="A6" s="10"/>
      <c r="B6" s="10"/>
      <c r="C6" s="85"/>
      <c r="D6" s="85"/>
      <c r="E6" s="10"/>
    </row>
    <row r="7" spans="1:5" ht="15">
      <c r="A7" s="10"/>
      <c r="B7" s="10"/>
      <c r="C7" s="42"/>
      <c r="D7" s="42"/>
      <c r="E7" s="10"/>
    </row>
    <row r="8" spans="1:5" ht="15">
      <c r="A8" s="10"/>
      <c r="B8" s="79" t="s">
        <v>496</v>
      </c>
      <c r="C8" s="79"/>
      <c r="D8" s="43"/>
      <c r="E8" s="10"/>
    </row>
    <row r="9" spans="1:5" ht="14.25">
      <c r="A9" s="10"/>
      <c r="B9" s="10"/>
      <c r="C9" s="10"/>
      <c r="D9" s="10"/>
      <c r="E9" s="10"/>
    </row>
    <row r="10" spans="1:5" ht="14.25">
      <c r="A10" s="10"/>
      <c r="B10" s="10"/>
      <c r="C10" s="10"/>
      <c r="D10" s="10"/>
      <c r="E10" s="10"/>
    </row>
    <row r="11" spans="1:30" ht="15.75">
      <c r="A11" s="86" t="str">
        <f>CONCATENATE("Дефектный акт ",IF(Source!AN15&lt;&gt;"",Source!AN15," "))</f>
        <v>Дефектный акт  </v>
      </c>
      <c r="B11" s="86"/>
      <c r="C11" s="86"/>
      <c r="D11" s="86"/>
      <c r="E11" s="10"/>
      <c r="AD11" s="44" t="str">
        <f>CONCATENATE("Дефектный акт ",IF(Source!AN15&lt;&gt;"",Source!AN15," "))</f>
        <v>Дефектный акт  </v>
      </c>
    </row>
    <row r="12" spans="1:30" ht="15">
      <c r="A12" s="87" t="s">
        <v>552</v>
      </c>
      <c r="B12" s="87"/>
      <c r="C12" s="87"/>
      <c r="D12" s="87"/>
      <c r="E12" s="10"/>
      <c r="AD12" s="45" t="str">
        <f>CONCATENATE("На капитальный ремонт ",Source!F12)</f>
        <v>На капитальный ремонт Новый объект</v>
      </c>
    </row>
    <row r="13" spans="1:5" ht="14.25">
      <c r="A13" s="10"/>
      <c r="B13" s="10"/>
      <c r="C13" s="10"/>
      <c r="D13" s="10"/>
      <c r="E13" s="10"/>
    </row>
    <row r="14" spans="1:5" ht="15">
      <c r="A14" s="10"/>
      <c r="B14" s="46" t="s">
        <v>497</v>
      </c>
      <c r="C14" s="10"/>
      <c r="D14" s="10"/>
      <c r="E14" s="10"/>
    </row>
    <row r="15" spans="1:5" ht="15">
      <c r="A15" s="10"/>
      <c r="B15" s="46" t="s">
        <v>498</v>
      </c>
      <c r="C15" s="10"/>
      <c r="D15" s="10"/>
      <c r="E15" s="10"/>
    </row>
    <row r="16" spans="1:5" ht="15">
      <c r="A16" s="10"/>
      <c r="B16" s="46" t="s">
        <v>499</v>
      </c>
      <c r="C16" s="10"/>
      <c r="D16" s="10"/>
      <c r="E16" s="10"/>
    </row>
    <row r="17" spans="1:5" ht="28.5">
      <c r="A17" s="24" t="s">
        <v>500</v>
      </c>
      <c r="B17" s="24" t="s">
        <v>464</v>
      </c>
      <c r="C17" s="24" t="s">
        <v>465</v>
      </c>
      <c r="D17" s="24" t="s">
        <v>501</v>
      </c>
      <c r="E17" s="22" t="s">
        <v>502</v>
      </c>
    </row>
    <row r="18" spans="1:5" ht="14.25">
      <c r="A18" s="48">
        <v>1</v>
      </c>
      <c r="B18" s="48">
        <v>2</v>
      </c>
      <c r="C18" s="48">
        <v>3</v>
      </c>
      <c r="D18" s="48">
        <v>4</v>
      </c>
      <c r="E18" s="49">
        <v>5</v>
      </c>
    </row>
    <row r="19" spans="1:31" ht="16.5">
      <c r="A19" s="84" t="str">
        <f>CONCATENATE("Локальная смета: ",Source!G20)</f>
        <v>Локальная смета: Новая локальная смета</v>
      </c>
      <c r="B19" s="84"/>
      <c r="C19" s="84"/>
      <c r="D19" s="84"/>
      <c r="E19" s="84"/>
      <c r="AE19" s="47" t="str">
        <f>CONCATENATE("Локальная смета: ",Source!G20)</f>
        <v>Локальная смета: Новая локальная смета</v>
      </c>
    </row>
    <row r="20" spans="1:31" ht="16.5">
      <c r="A20" s="84" t="str">
        <f>CONCATENATE("Раздел: ",Source!G24)</f>
        <v>Раздел: Монтажные работы</v>
      </c>
      <c r="B20" s="84"/>
      <c r="C20" s="84"/>
      <c r="D20" s="84"/>
      <c r="E20" s="84"/>
      <c r="AE20" s="47" t="str">
        <f>CONCATENATE("Раздел: ",Source!G24)</f>
        <v>Раздел: Монтажные работы</v>
      </c>
    </row>
    <row r="21" spans="1:5" ht="28.5">
      <c r="A21" s="54" t="str">
        <f>Source!E28</f>
        <v>1</v>
      </c>
      <c r="B21" s="55" t="str">
        <f>Source!G28</f>
        <v>Установка клапанов огнезадерживающих периметром до 3200 мм (без стоимости клапанов)</v>
      </c>
      <c r="C21" s="56" t="str">
        <f>Source!H28</f>
        <v>шт.</v>
      </c>
      <c r="D21" s="57">
        <f>Source!I28</f>
        <v>2</v>
      </c>
      <c r="E21" s="54"/>
    </row>
    <row r="22" spans="1:5" ht="28.5">
      <c r="A22" s="54" t="str">
        <f>Source!E29</f>
        <v>1,1</v>
      </c>
      <c r="B22" s="55" t="str">
        <f>Source!G29</f>
        <v>Клапан огнезадерживающий КЛОП-2 с эл. приводом Белимо 500х500 цена=7990/1,18=6771,19</v>
      </c>
      <c r="C22" s="56" t="str">
        <f>Source!H29</f>
        <v>ШТ</v>
      </c>
      <c r="D22" s="57">
        <f>Source!I29</f>
        <v>2</v>
      </c>
      <c r="E22" s="54"/>
    </row>
    <row r="23" spans="1:5" ht="28.5">
      <c r="A23" s="54" t="str">
        <f>Source!E30</f>
        <v>2</v>
      </c>
      <c r="B23" s="55" t="str">
        <f>Source!G30</f>
        <v>Установка решеток жалюзийных площадью в свету до 0,25 м2 (без стоимости решеток)</v>
      </c>
      <c r="C23" s="56" t="str">
        <f>Source!H30</f>
        <v>шт.</v>
      </c>
      <c r="D23" s="57">
        <f>Source!I30</f>
        <v>204</v>
      </c>
      <c r="E23" s="54"/>
    </row>
    <row r="24" spans="1:5" ht="28.5">
      <c r="A24" s="54" t="str">
        <f>Source!E31</f>
        <v>2,1</v>
      </c>
      <c r="B24" s="55" t="str">
        <f>Source!G31</f>
        <v>Решетки вентиляционные, жалюзийные, регулируемые, алюминиевые, марка АДР, размер 200х200 мм</v>
      </c>
      <c r="C24" s="56" t="str">
        <f>Source!H31</f>
        <v>шт.</v>
      </c>
      <c r="D24" s="57">
        <f>Source!I31</f>
        <v>60</v>
      </c>
      <c r="E24" s="54"/>
    </row>
    <row r="25" spans="1:5" ht="28.5">
      <c r="A25" s="54" t="str">
        <f>Source!E32</f>
        <v>2,2</v>
      </c>
      <c r="B25" s="55" t="str">
        <f>Source!G32</f>
        <v>Решетки вентиляционные, жалюзийные, регулируемые, алюминиевые, марка АМР, размер 150х150 мм</v>
      </c>
      <c r="C25" s="56" t="str">
        <f>Source!H32</f>
        <v>шт.</v>
      </c>
      <c r="D25" s="57">
        <f>Source!I32</f>
        <v>130</v>
      </c>
      <c r="E25" s="54"/>
    </row>
    <row r="26" spans="1:5" ht="28.5">
      <c r="A26" s="54" t="str">
        <f>Source!E33</f>
        <v>2,3</v>
      </c>
      <c r="B26" s="55" t="str">
        <f>Source!G33</f>
        <v>Решетки вентиляционные, жалюзийные, регулируемые, стальные, марка РС-Г, размер 325х225 мм</v>
      </c>
      <c r="C26" s="56" t="str">
        <f>Source!H33</f>
        <v>шт.</v>
      </c>
      <c r="D26" s="57">
        <f>Source!I33</f>
        <v>4</v>
      </c>
      <c r="E26" s="54"/>
    </row>
    <row r="27" spans="1:5" ht="28.5">
      <c r="A27" s="54" t="str">
        <f>Source!E34</f>
        <v>2,4</v>
      </c>
      <c r="B27" s="55" t="str">
        <f>Source!G34</f>
        <v>Решетки вентиляционные, жалюзийные, регулируемые, стальные, марка РС-Г, размер 225х125 мм</v>
      </c>
      <c r="C27" s="56" t="str">
        <f>Source!H34</f>
        <v>шт.</v>
      </c>
      <c r="D27" s="57">
        <f>Source!I34</f>
        <v>1</v>
      </c>
      <c r="E27" s="54"/>
    </row>
    <row r="28" spans="1:5" ht="28.5">
      <c r="A28" s="54" t="str">
        <f>Source!E35</f>
        <v>2,5</v>
      </c>
      <c r="B28" s="55" t="str">
        <f>Source!G35</f>
        <v>Решетки вентиляционные, жалюзийные, регулируемые, стальные, марка РС-Г, размер 525х225 мм</v>
      </c>
      <c r="C28" s="56" t="str">
        <f>Source!H35</f>
        <v>шт.</v>
      </c>
      <c r="D28" s="57">
        <f>Source!I35</f>
        <v>8</v>
      </c>
      <c r="E28" s="54"/>
    </row>
    <row r="29" spans="1:5" ht="28.5">
      <c r="A29" s="54" t="str">
        <f>Source!E36</f>
        <v>2,6</v>
      </c>
      <c r="B29" s="55" t="str">
        <f>Source!G36</f>
        <v>Решетки вентиляционные, жалюзийные, регулируемые, стальные, марка РС-Г, размер 225х225 мм</v>
      </c>
      <c r="C29" s="56" t="str">
        <f>Source!H36</f>
        <v>шт.</v>
      </c>
      <c r="D29" s="57">
        <f>Source!I36</f>
        <v>1</v>
      </c>
      <c r="E29" s="54"/>
    </row>
    <row r="30" spans="1:5" ht="28.5">
      <c r="A30" s="54" t="str">
        <f>Source!E37</f>
        <v>3</v>
      </c>
      <c r="B30" s="55" t="str">
        <f>Source!G37</f>
        <v>Установка насосов центробежных с электродвигателем массой агрегата до 0,1 т (без стоимости насосов)</v>
      </c>
      <c r="C30" s="56" t="str">
        <f>Source!H37</f>
        <v>компл.</v>
      </c>
      <c r="D30" s="57">
        <f>Source!I37</f>
        <v>1</v>
      </c>
      <c r="E30" s="54"/>
    </row>
    <row r="31" spans="1:5" ht="14.25">
      <c r="A31" s="54" t="str">
        <f>Source!E38</f>
        <v>3,1</v>
      </c>
      <c r="B31" s="55" t="str">
        <f>Source!G38</f>
        <v>Насос  ГНОМ 10-10 220/1,1 цена=8950/1,18=7584,75</v>
      </c>
      <c r="C31" s="56" t="str">
        <f>Source!H38</f>
        <v>ШТ</v>
      </c>
      <c r="D31" s="57">
        <f>Source!I38</f>
        <v>1</v>
      </c>
      <c r="E31" s="54"/>
    </row>
    <row r="32" spans="1:5" ht="14.25">
      <c r="A32" s="54" t="str">
        <f>Source!E39</f>
        <v>4</v>
      </c>
      <c r="B32" s="55" t="str">
        <f>Source!G39</f>
        <v>Монтаж металлических конструкций люков (без стоимости люков)</v>
      </c>
      <c r="C32" s="56" t="str">
        <f>Source!H39</f>
        <v>т</v>
      </c>
      <c r="D32" s="57">
        <f>Source!I39</f>
        <v>0.0303</v>
      </c>
      <c r="E32" s="54"/>
    </row>
    <row r="33" spans="1:5" ht="14.25">
      <c r="A33" s="54" t="str">
        <f>Source!E40</f>
        <v>4,1</v>
      </c>
      <c r="B33" s="55" t="str">
        <f>Source!G40</f>
        <v>Дверь герметичная утепленная Дус 1,25х0,51 цена=4590/1,18=3889,83</v>
      </c>
      <c r="C33" s="56" t="str">
        <f>Source!H40</f>
        <v>ШТ</v>
      </c>
      <c r="D33" s="57">
        <f>Source!I40</f>
        <v>0.9999999999999999</v>
      </c>
      <c r="E33" s="54"/>
    </row>
    <row r="34" spans="1:5" ht="42.75">
      <c r="A34" s="54" t="str">
        <f>Source!E41</f>
        <v>5</v>
      </c>
      <c r="B34" s="55" t="str">
        <f>Source!G41</f>
        <v>Прокладка воздуховодов из черной, оцинкованной стали и алюминия толщиной 0,5 мм периметром до 600 мм (без стоимости дроссель-клапана, шибера, средств крепления, сетки, заглушки и воздуховода)</v>
      </c>
      <c r="C34" s="56" t="str">
        <f>Source!H41</f>
        <v>100 м2</v>
      </c>
      <c r="D34" s="57">
        <f>Source!I41</f>
        <v>0.209</v>
      </c>
      <c r="E34" s="54"/>
    </row>
    <row r="35" spans="1:5" ht="42.75">
      <c r="A35" s="54" t="str">
        <f>Source!E42</f>
        <v>5,1</v>
      </c>
      <c r="B35" s="55" t="str">
        <f>Source!G42</f>
        <v>Дроссель-клапаны для регулирования расхода воздуха, в обечайке, с сектором управления, из оцинкованной стали, прямоугольные, периметр 700 мм</v>
      </c>
      <c r="C35" s="56" t="str">
        <f>Source!H42</f>
        <v>шт.</v>
      </c>
      <c r="D35" s="57">
        <f>Source!I42</f>
        <v>12</v>
      </c>
      <c r="E35" s="54"/>
    </row>
    <row r="36" spans="1:5" ht="28.5">
      <c r="A36" s="54" t="str">
        <f>Source!E43</f>
        <v>5,2</v>
      </c>
      <c r="B36" s="55" t="str">
        <f>Source!G43</f>
        <v>Воздуховоды прямоугольного сечения из черной стали, толщина стенки до 1,2 мм, периметр до 1000 мм</v>
      </c>
      <c r="C36" s="56" t="str">
        <f>Source!H43</f>
        <v>м2</v>
      </c>
      <c r="D36" s="57">
        <f>Source!I43</f>
        <v>20.9</v>
      </c>
      <c r="E36" s="54"/>
    </row>
    <row r="37" spans="1:5" ht="14.25">
      <c r="A37" s="54" t="str">
        <f>Source!E44</f>
        <v>5,3</v>
      </c>
      <c r="B37" s="55" t="str">
        <f>Source!G44</f>
        <v>Лючок для прочистки воздуховодов цена=374/1,18=316,95</v>
      </c>
      <c r="C37" s="56" t="str">
        <f>Source!H44</f>
        <v>ШТ</v>
      </c>
      <c r="D37" s="57">
        <f>Source!I44</f>
        <v>1</v>
      </c>
      <c r="E37" s="54"/>
    </row>
    <row r="38" spans="1:5" ht="28.5">
      <c r="A38" s="54" t="str">
        <f>Source!E45</f>
        <v>5,4</v>
      </c>
      <c r="B38" s="55" t="str">
        <f>Source!G45</f>
        <v>Сетки металлические в рамках для ограждения приточных и вытяжных отверстий из оцинкованной стали, площадь сетки в свету до 0,5 м2</v>
      </c>
      <c r="C38" s="56" t="str">
        <f>Source!H45</f>
        <v>м2</v>
      </c>
      <c r="D38" s="57">
        <f>Source!I45</f>
        <v>0.5</v>
      </c>
      <c r="E38" s="54"/>
    </row>
    <row r="39" spans="1:5" ht="28.5">
      <c r="A39" s="54" t="str">
        <f>Source!E46</f>
        <v>5,5</v>
      </c>
      <c r="B39" s="55" t="str">
        <f>Source!G46</f>
        <v>Сетки металлические в рамках для ограждения приточных и вытяжных отверстий из оцинкованной стали, площадь сетки в свету до 0,2 м2</v>
      </c>
      <c r="C39" s="56" t="str">
        <f>Source!H46</f>
        <v>м2</v>
      </c>
      <c r="D39" s="57">
        <f>Source!I46</f>
        <v>0.015</v>
      </c>
      <c r="E39" s="54"/>
    </row>
    <row r="40" spans="1:5" ht="42.75">
      <c r="A40" s="54" t="str">
        <f>Source!E47</f>
        <v>6</v>
      </c>
      <c r="B40" s="55" t="str">
        <f>Source!G47</f>
        <v>Прокладка воздуховодов из черной, оцинкованной стали и алюминия толщиной 0,5 мм периметром до 1000 мм (без стоимости дроссель-клапана, шибера, средств крепления, сетки, заглушки и воздуховода)</v>
      </c>
      <c r="C40" s="56" t="str">
        <f>Source!H47</f>
        <v>100 м2</v>
      </c>
      <c r="D40" s="57">
        <f>Source!I47</f>
        <v>0.63</v>
      </c>
      <c r="E40" s="54"/>
    </row>
    <row r="41" spans="1:5" ht="42.75">
      <c r="A41" s="54" t="str">
        <f>Source!E48</f>
        <v>6,1</v>
      </c>
      <c r="B41" s="55" t="str">
        <f>Source!G48</f>
        <v>Дроссель-клапаны для регулирования расхода воздуха, в обечайке, с сектором управления, из оцинкованной стали, прямоугольные, периметр 1000 мм</v>
      </c>
      <c r="C41" s="56" t="str">
        <f>Source!H48</f>
        <v>шт.</v>
      </c>
      <c r="D41" s="57">
        <f>Source!I48</f>
        <v>6</v>
      </c>
      <c r="E41" s="54"/>
    </row>
    <row r="42" spans="1:5" ht="28.5">
      <c r="A42" s="54" t="str">
        <f>Source!E49</f>
        <v>6,2</v>
      </c>
      <c r="B42" s="55" t="str">
        <f>Source!G49</f>
        <v>Воздуховоды прямоугольного сечения из оцинкованной стали, толщина стенки до 1,2 мм, периметр до 4000 мм</v>
      </c>
      <c r="C42" s="56" t="str">
        <f>Source!H49</f>
        <v>м2</v>
      </c>
      <c r="D42" s="57">
        <f>Source!I49</f>
        <v>63</v>
      </c>
      <c r="E42" s="54"/>
    </row>
    <row r="43" spans="1:5" ht="14.25">
      <c r="A43" s="54" t="str">
        <f>Source!E50</f>
        <v>6,3</v>
      </c>
      <c r="B43" s="55" t="str">
        <f>Source!G50</f>
        <v>Лючок для прочистки воздуховодов цена=374/1,18=316,95</v>
      </c>
      <c r="C43" s="56" t="str">
        <f>Source!H50</f>
        <v>ШТ</v>
      </c>
      <c r="D43" s="57">
        <f>Source!I50</f>
        <v>2</v>
      </c>
      <c r="E43" s="54"/>
    </row>
    <row r="44" spans="1:5" ht="57">
      <c r="A44" s="54" t="str">
        <f>Source!E51</f>
        <v>7</v>
      </c>
      <c r="B44" s="55" t="str">
        <f>Source!G51</f>
        <v>Прокладка воздуховодов прямоугольных из черной, оцинкованной стали и алюминия, толщина стали от 1 до 2 мм, периметр до 1800 мм (без стоимости дроссель-клапана, шибера, средств крепления, сетки, заглушки и воздуховода)</v>
      </c>
      <c r="C44" s="56" t="str">
        <f>Source!H51</f>
        <v>100 м2</v>
      </c>
      <c r="D44" s="57">
        <f>Source!I51</f>
        <v>0.174</v>
      </c>
      <c r="E44" s="54"/>
    </row>
    <row r="45" spans="1:5" ht="42.75">
      <c r="A45" s="54" t="str">
        <f>Source!E52</f>
        <v>7,1</v>
      </c>
      <c r="B45" s="55" t="str">
        <f>Source!G52</f>
        <v>Дроссель-клапаны для регулирования расхода воздуха, в обечайке, с сектором управления, из оцинкованной стали, прямоугольные, периметр 2000 мм</v>
      </c>
      <c r="C45" s="56" t="str">
        <f>Source!H52</f>
        <v>шт.</v>
      </c>
      <c r="D45" s="57">
        <f>Source!I52</f>
        <v>2</v>
      </c>
      <c r="E45" s="54"/>
    </row>
    <row r="46" spans="1:5" ht="28.5">
      <c r="A46" s="54" t="str">
        <f>Source!E53</f>
        <v>7,2</v>
      </c>
      <c r="B46" s="55" t="str">
        <f>Source!G53</f>
        <v>Воздуховоды прямоугольного сечения из оцинкованной стали, толщина стенки до 1,2 мм, периметр до 4000 мм</v>
      </c>
      <c r="C46" s="56" t="str">
        <f>Source!H53</f>
        <v>м2</v>
      </c>
      <c r="D46" s="57">
        <f>Source!I53</f>
        <v>17.4</v>
      </c>
      <c r="E46" s="54"/>
    </row>
    <row r="47" spans="1:5" ht="14.25">
      <c r="A47" s="54" t="str">
        <f>Source!E54</f>
        <v>7,3</v>
      </c>
      <c r="B47" s="55" t="str">
        <f>Source!G54</f>
        <v>Лючок для прочистки воздуховодов цена=374/1,18=316,95</v>
      </c>
      <c r="C47" s="56" t="str">
        <f>Source!H54</f>
        <v>ШТ</v>
      </c>
      <c r="D47" s="57">
        <f>Source!I54</f>
        <v>1</v>
      </c>
      <c r="E47" s="54"/>
    </row>
    <row r="48" spans="1:5" ht="57">
      <c r="A48" s="54" t="str">
        <f>Source!E55</f>
        <v>8</v>
      </c>
      <c r="B48" s="55" t="str">
        <f>Source!G55</f>
        <v>Прокладка воздуховодов прямоугольных из черной, оцинкованной стали и алюминия, толщина стали от 1 до 2 мм, периметр до 2000 мм (без стоимости дроссель-клапана, шибера, средств крепления, сетки, заглушки и воздуховода)</v>
      </c>
      <c r="C48" s="56" t="str">
        <f>Source!H55</f>
        <v>100 м2</v>
      </c>
      <c r="D48" s="57">
        <f>Source!I55</f>
        <v>0.48</v>
      </c>
      <c r="E48" s="54"/>
    </row>
    <row r="49" spans="1:5" ht="42.75">
      <c r="A49" s="54" t="str">
        <f>Source!E56</f>
        <v>8,1</v>
      </c>
      <c r="B49" s="55" t="str">
        <f>Source!G56</f>
        <v>Дроссель-клапаны для регулирования расхода воздуха, в обечайке, с сектором управления, из оцинкованной стали, прямоугольные, периметр 2000 мм</v>
      </c>
      <c r="C49" s="56" t="str">
        <f>Source!H56</f>
        <v>шт.</v>
      </c>
      <c r="D49" s="57">
        <f>Source!I56</f>
        <v>1</v>
      </c>
      <c r="E49" s="54"/>
    </row>
    <row r="50" spans="1:5" ht="28.5">
      <c r="A50" s="54" t="str">
        <f>Source!E57</f>
        <v>8,2</v>
      </c>
      <c r="B50" s="55" t="str">
        <f>Source!G57</f>
        <v>Воздуховоды прямоугольного сечения из оцинкованной стали, толщина стенки до 1,2 мм, периметр до 4000 мм</v>
      </c>
      <c r="C50" s="56" t="str">
        <f>Source!H57</f>
        <v>м2</v>
      </c>
      <c r="D50" s="57">
        <f>Source!I57</f>
        <v>48</v>
      </c>
      <c r="E50" s="54"/>
    </row>
    <row r="51" spans="1:5" ht="14.25">
      <c r="A51" s="54" t="str">
        <f>Source!E58</f>
        <v>8,3</v>
      </c>
      <c r="B51" s="55" t="str">
        <f>Source!G58</f>
        <v>Лючок для прочистки воздуховодов цена=374/1,18=316,95</v>
      </c>
      <c r="C51" s="56" t="str">
        <f>Source!H58</f>
        <v>ШТ</v>
      </c>
      <c r="D51" s="57">
        <f>Source!I58</f>
        <v>2</v>
      </c>
      <c r="E51" s="54"/>
    </row>
    <row r="52" spans="1:5" ht="28.5">
      <c r="A52" s="54" t="str">
        <f>Source!E59</f>
        <v>9</v>
      </c>
      <c r="B52" s="55" t="str">
        <f>Source!G59</f>
        <v>Изоляция плоских и криволинейных поверхностей изделиями из вспененного каучука, вспененного полиэтилена</v>
      </c>
      <c r="C52" s="56" t="str">
        <f>Source!H59</f>
        <v>м2</v>
      </c>
      <c r="D52" s="57">
        <f>Source!I59</f>
        <v>25.6</v>
      </c>
      <c r="E52" s="54"/>
    </row>
    <row r="53" spans="1:5" ht="28.5">
      <c r="A53" s="54" t="str">
        <f>Source!E60</f>
        <v>9,1</v>
      </c>
      <c r="B53" s="55" t="str">
        <f>Source!G60</f>
        <v>Листы теплоизоляционные "Армафлекс", для поверхностей с температурой от -80 до +110 °С, толщина 13 мм</v>
      </c>
      <c r="C53" s="56" t="str">
        <f>Source!H60</f>
        <v>м2</v>
      </c>
      <c r="D53" s="57">
        <f>Source!I60</f>
        <v>26.879999999999995</v>
      </c>
      <c r="E53" s="54"/>
    </row>
    <row r="54" spans="1:5" ht="14.25">
      <c r="A54" s="54" t="str">
        <f>Source!E61</f>
        <v>9,2</v>
      </c>
      <c r="B54" s="55" t="str">
        <f>Source!G61</f>
        <v>Клей резиновый, 78 БЦСП</v>
      </c>
      <c r="C54" s="56" t="str">
        <f>Source!H61</f>
        <v>кг</v>
      </c>
      <c r="D54" s="57">
        <f>Source!I61</f>
        <v>5.12</v>
      </c>
      <c r="E54" s="54"/>
    </row>
    <row r="55" spans="1:5" ht="28.5">
      <c r="A55" s="54" t="str">
        <f>Source!E62</f>
        <v>10</v>
      </c>
      <c r="B55" s="55" t="str">
        <f>Source!G62</f>
        <v>Установка зонтов над шахтами из листовой стали прямоугольного сечения периметром 3200 мм (без стоимости креплений) (зонт 720х720)</v>
      </c>
      <c r="C55" s="56" t="str">
        <f>Source!H62</f>
        <v>шт.</v>
      </c>
      <c r="D55" s="57">
        <f>Source!I62</f>
        <v>1</v>
      </c>
      <c r="E55" s="54"/>
    </row>
    <row r="56" spans="1:5" ht="14.25">
      <c r="A56" s="54" t="str">
        <f>Source!E63</f>
        <v>10,1</v>
      </c>
      <c r="B56" s="55" t="str">
        <f>Source!G63</f>
        <v>Зонт над шахтой 720х720х100 ВЕТЕРРА цена=1683/1,18=1426,27</v>
      </c>
      <c r="C56" s="56" t="str">
        <f>Source!H63</f>
        <v>ШТ</v>
      </c>
      <c r="D56" s="57">
        <f>Source!I63</f>
        <v>1</v>
      </c>
      <c r="E56" s="54"/>
    </row>
    <row r="57" spans="1:5" ht="28.5">
      <c r="A57" s="54" t="str">
        <f>Source!E64</f>
        <v>10,2</v>
      </c>
      <c r="B57" s="55" t="str">
        <f>Source!G64</f>
        <v>Средства крепления - кронштейн и подставка под оборудование из сортовой стали</v>
      </c>
      <c r="C57" s="56" t="str">
        <f>Source!H64</f>
        <v>кг</v>
      </c>
      <c r="D57" s="57">
        <f>Source!I64</f>
        <v>7.1</v>
      </c>
      <c r="E57" s="54"/>
    </row>
    <row r="58" spans="1:5" ht="28.5">
      <c r="A58" s="54" t="str">
        <f>Source!E65</f>
        <v>10,3</v>
      </c>
      <c r="B58" s="55" t="str">
        <f>Source!G65</f>
        <v>Зонты вентиляционных систем из оцинкованной стали, прямоугольного сечения, 800х800мм (зонт 720х720)</v>
      </c>
      <c r="C58" s="56" t="str">
        <f>Source!H65</f>
        <v>шт.</v>
      </c>
      <c r="D58" s="57">
        <f>Source!I65</f>
        <v>-1</v>
      </c>
      <c r="E58" s="54"/>
    </row>
    <row r="59" spans="1:5" ht="28.5">
      <c r="A59" s="54" t="str">
        <f>Source!E66</f>
        <v>11</v>
      </c>
      <c r="B59" s="55" t="str">
        <f>Source!G66</f>
        <v>Установка зонтов над шахтами из листовой стали прямоугольного сечения периметром 3200 мм (без стоимости креплений) (зонт 720х900)</v>
      </c>
      <c r="C59" s="56" t="str">
        <f>Source!H66</f>
        <v>шт.</v>
      </c>
      <c r="D59" s="57">
        <f>Source!I66</f>
        <v>7</v>
      </c>
      <c r="E59" s="54"/>
    </row>
    <row r="60" spans="1:5" ht="28.5">
      <c r="A60" s="54" t="str">
        <f>Source!E67</f>
        <v>11,1</v>
      </c>
      <c r="B60" s="55" t="str">
        <f>Source!G67</f>
        <v>Средства крепления - кронштейн и подставка под оборудование из сортовой стали</v>
      </c>
      <c r="C60" s="56" t="str">
        <f>Source!H67</f>
        <v>кг</v>
      </c>
      <c r="D60" s="57">
        <f>Source!I67</f>
        <v>49</v>
      </c>
      <c r="E60" s="54"/>
    </row>
    <row r="61" spans="1:5" ht="28.5">
      <c r="A61" s="54" t="str">
        <f>Source!E68</f>
        <v>12</v>
      </c>
      <c r="B61" s="55" t="str">
        <f>Source!G68</f>
        <v>Установка зонтов над шахтами из листовой стали прямоугольного сечения периметром 3600 мм (без стоимости креплений) (зонт 720х1080)</v>
      </c>
      <c r="C61" s="56" t="str">
        <f>Source!H68</f>
        <v>шт.</v>
      </c>
      <c r="D61" s="57">
        <f>Source!I68</f>
        <v>2</v>
      </c>
      <c r="E61" s="54"/>
    </row>
    <row r="62" spans="1:5" ht="28.5">
      <c r="A62" s="54" t="str">
        <f>Source!E69</f>
        <v>12,1</v>
      </c>
      <c r="B62" s="55" t="str">
        <f>Source!G69</f>
        <v>Средства крепления - кронштейн и подставка под оборудование из сортовой стали</v>
      </c>
      <c r="C62" s="56" t="str">
        <f>Source!H69</f>
        <v>кг</v>
      </c>
      <c r="D62" s="57">
        <f>Source!I69</f>
        <v>14</v>
      </c>
      <c r="E62" s="54"/>
    </row>
    <row r="63" spans="1:5" ht="28.5">
      <c r="A63" s="54" t="str">
        <f>Source!E70</f>
        <v>13</v>
      </c>
      <c r="B63" s="55" t="str">
        <f>Source!G70</f>
        <v>Установка зонтов над шахтами из листовой стали прямоугольного сечения периметром 4000 мм (без стоимости креплений) (зонт 720х1440)</v>
      </c>
      <c r="C63" s="56" t="str">
        <f>Source!H70</f>
        <v>шт.</v>
      </c>
      <c r="D63" s="57">
        <f>Source!I70</f>
        <v>3</v>
      </c>
      <c r="E63" s="54"/>
    </row>
    <row r="64" spans="1:5" ht="28.5">
      <c r="A64" s="54" t="str">
        <f>Source!E71</f>
        <v>13,1</v>
      </c>
      <c r="B64" s="55" t="str">
        <f>Source!G71</f>
        <v>Средства крепления - кронштейн и подставка под оборудование из сортовой стали</v>
      </c>
      <c r="C64" s="56" t="str">
        <f>Source!H71</f>
        <v>кг</v>
      </c>
      <c r="D64" s="57">
        <f>Source!I71</f>
        <v>21</v>
      </c>
      <c r="E64" s="54"/>
    </row>
    <row r="65" spans="1:5" ht="28.5">
      <c r="A65" s="54" t="str">
        <f>Source!E72</f>
        <v>14</v>
      </c>
      <c r="B65" s="55" t="str">
        <f>Source!G72</f>
        <v>Установка зонтов над шахтами из листовой стали прямоугольного сечения периметром 4000 мм (без стоимости креплений) (зонт 720х1800)</v>
      </c>
      <c r="C65" s="56" t="str">
        <f>Source!H72</f>
        <v>шт.</v>
      </c>
      <c r="D65" s="57">
        <f>Source!I72</f>
        <v>10</v>
      </c>
      <c r="E65" s="54"/>
    </row>
    <row r="66" spans="1:5" ht="28.5">
      <c r="A66" s="54" t="str">
        <f>Source!E73</f>
        <v>14,1</v>
      </c>
      <c r="B66" s="55" t="str">
        <f>Source!G73</f>
        <v>Средства крепления - кронштейн и подставка под оборудование из сортовой стали</v>
      </c>
      <c r="C66" s="56" t="str">
        <f>Source!H73</f>
        <v>кг</v>
      </c>
      <c r="D66" s="57">
        <f>Source!I73</f>
        <v>71</v>
      </c>
      <c r="E66" s="54"/>
    </row>
    <row r="67" spans="1:5" ht="28.5">
      <c r="A67" s="54" t="str">
        <f>Source!E74</f>
        <v>15</v>
      </c>
      <c r="B67" s="55" t="str">
        <f>Source!G74</f>
        <v>Установка зонтов над шахтами из листовой стали прямоугольного сечения периметром 4000 мм (без стоимости креплений) (зонт 720х2160)</v>
      </c>
      <c r="C67" s="56" t="str">
        <f>Source!H74</f>
        <v>шт.</v>
      </c>
      <c r="D67" s="57">
        <f>Source!I74</f>
        <v>6</v>
      </c>
      <c r="E67" s="54"/>
    </row>
    <row r="68" spans="1:5" ht="28.5">
      <c r="A68" s="54" t="str">
        <f>Source!E75</f>
        <v>15,1</v>
      </c>
      <c r="B68" s="55" t="str">
        <f>Source!G75</f>
        <v>Средства крепления - кронштейн и подставка под оборудование из сортовой стали</v>
      </c>
      <c r="C68" s="56" t="str">
        <f>Source!H75</f>
        <v>кг</v>
      </c>
      <c r="D68" s="57">
        <f>Source!I75</f>
        <v>42.6</v>
      </c>
      <c r="E68" s="54"/>
    </row>
    <row r="69" spans="1:5" ht="42.75">
      <c r="A69" s="54" t="str">
        <f>Source!E76</f>
        <v>16</v>
      </c>
      <c r="B69" s="55" t="str">
        <f>Source!G76</f>
        <v>Установка камер приточных типовых без секции орошения и установок приточных производительностью до 10 тыс.м3/час (без стоимости камеры)</v>
      </c>
      <c r="C69" s="56" t="str">
        <f>Source!H76</f>
        <v>компл.</v>
      </c>
      <c r="D69" s="57">
        <f>Source!I76</f>
        <v>1</v>
      </c>
      <c r="E69" s="54"/>
    </row>
    <row r="70" spans="1:5" ht="28.5">
      <c r="A70" s="54" t="str">
        <f>Source!E77</f>
        <v>16,1</v>
      </c>
      <c r="B70" s="55" t="str">
        <f>Source!G77</f>
        <v>Приточная установка П-1 в комплекте  ECO 160/1-1,2/1-А Shuft цена=36653/1,18=31061,86</v>
      </c>
      <c r="C70" s="56" t="str">
        <f>Source!H77</f>
        <v>ШТ</v>
      </c>
      <c r="D70" s="57">
        <f>Source!I77</f>
        <v>1</v>
      </c>
      <c r="E70" s="54"/>
    </row>
    <row r="71" spans="1:5" ht="42.75">
      <c r="A71" s="54" t="str">
        <f>Source!E78</f>
        <v>17</v>
      </c>
      <c r="B71" s="55" t="str">
        <f>Source!G78</f>
        <v>Установка заслонок воздушных или клапанов воздушных КВР с электрическим или пневматическим приводами периметром до 1000 мм (без стоимости заслонок или клапанов)</v>
      </c>
      <c r="C71" s="56" t="str">
        <f>Source!H78</f>
        <v>шт.</v>
      </c>
      <c r="D71" s="57">
        <f>Source!I78</f>
        <v>1</v>
      </c>
      <c r="E71" s="54"/>
    </row>
    <row r="72" spans="1:5" ht="42.75">
      <c r="A72" s="54" t="str">
        <f>Source!E79</f>
        <v>17,1</v>
      </c>
      <c r="B72" s="55" t="str">
        <f>Source!G79</f>
        <v>Клапаны для регулирования воздушных потоков в вентиляционных системах в искробезопасном исполнении из горячекатаной стали, марка АЗЕ 025, сечение 200х200 мм</v>
      </c>
      <c r="C72" s="56" t="str">
        <f>Source!H79</f>
        <v>шт.</v>
      </c>
      <c r="D72" s="57">
        <f>Source!I79</f>
        <v>1</v>
      </c>
      <c r="E72" s="54"/>
    </row>
    <row r="73" spans="1:5" ht="28.5">
      <c r="A73" s="54" t="str">
        <f>Source!E80</f>
        <v>18</v>
      </c>
      <c r="B73" s="55" t="str">
        <f>Source!G80</f>
        <v>Установка клапанов обратных периметром до 1000 мм (без стоимости клапанов)</v>
      </c>
      <c r="C73" s="56" t="str">
        <f>Source!H80</f>
        <v>шт.</v>
      </c>
      <c r="D73" s="57">
        <f>Source!I80</f>
        <v>1</v>
      </c>
      <c r="E73" s="54"/>
    </row>
    <row r="74" spans="1:5" ht="42.75">
      <c r="A74" s="54" t="str">
        <f>Source!E81</f>
        <v>18,1</v>
      </c>
      <c r="B74" s="55" t="str">
        <f>Source!G81</f>
        <v>Клапаны обратные для регулирования воздушных потоков в вентиляционных системах из оцинкованной стали, марка КОП, сечение 500х500 мм</v>
      </c>
      <c r="C74" s="56" t="str">
        <f>Source!H81</f>
        <v>шт.</v>
      </c>
      <c r="D74" s="57">
        <f>Source!I81</f>
        <v>1</v>
      </c>
      <c r="E74" s="54"/>
    </row>
    <row r="75" spans="1:5" ht="42.75">
      <c r="A75" s="54" t="str">
        <f>Source!E82</f>
        <v>19</v>
      </c>
      <c r="B75" s="55" t="str">
        <f>Source!G82</f>
        <v>Установка вентиляторов радиальных с электродвигателем на одной оси или на клиноременной передаче, массой до 0,05 т (без стоимости вентиляторов и гибких вставок)</v>
      </c>
      <c r="C75" s="56" t="str">
        <f>Source!H82</f>
        <v>шт.</v>
      </c>
      <c r="D75" s="57">
        <f>Source!I82</f>
        <v>1</v>
      </c>
      <c r="E75" s="54"/>
    </row>
    <row r="76" spans="1:5" ht="28.5">
      <c r="A76" s="54" t="str">
        <f>Source!E83</f>
        <v>19,1</v>
      </c>
      <c r="B76" s="55" t="str">
        <f>Source!G83</f>
        <v>Вентилятор ВР-280-46-2,5(2,0) 2,2 кВт- 3000 об./мин. цена=8994,06/1,18=7622,08</v>
      </c>
      <c r="C76" s="56" t="str">
        <f>Source!H83</f>
        <v>ШТ</v>
      </c>
      <c r="D76" s="57">
        <f>Source!I83</f>
        <v>1</v>
      </c>
      <c r="E76" s="54"/>
    </row>
    <row r="77" spans="1:31" ht="16.5">
      <c r="A77" s="84" t="str">
        <f>CONCATENATE("Раздел: ",Source!G111)</f>
        <v>Раздел: Демонтажные работы</v>
      </c>
      <c r="B77" s="84"/>
      <c r="C77" s="84"/>
      <c r="D77" s="84"/>
      <c r="E77" s="84"/>
      <c r="AE77" s="47" t="str">
        <f>CONCATENATE("Раздел: ",Source!G111)</f>
        <v>Раздел: Демонтажные работы</v>
      </c>
    </row>
    <row r="78" spans="1:5" ht="28.5">
      <c r="A78" s="54" t="str">
        <f>Source!E115</f>
        <v>1</v>
      </c>
      <c r="B78" s="55" t="str">
        <f>Source!G115</f>
        <v>Разборка воздуховодов из листовой стали толщиной до 0,9 мм, диаметр/периметр до 320/1000 мм</v>
      </c>
      <c r="C78" s="56" t="str">
        <f>Source!H115</f>
        <v>100 м2</v>
      </c>
      <c r="D78" s="57">
        <f>Source!I115</f>
        <v>0.8</v>
      </c>
      <c r="E78" s="54"/>
    </row>
    <row r="79" spans="1:5" ht="28.5">
      <c r="A79" s="54" t="str">
        <f>Source!E116</f>
        <v>2</v>
      </c>
      <c r="B79" s="55" t="str">
        <f>Source!G116</f>
        <v>Разборка воздуховодов из листовой стали толщиной до 0,9 мм, диаметр/периметр до 495/1550 мм</v>
      </c>
      <c r="C79" s="56" t="str">
        <f>Source!H116</f>
        <v>100 м2</v>
      </c>
      <c r="D79" s="57">
        <f>Source!I116</f>
        <v>0.825</v>
      </c>
      <c r="E79" s="54"/>
    </row>
    <row r="80" spans="1:5" ht="28.5">
      <c r="A80" s="54" t="str">
        <f>Source!E117</f>
        <v>3</v>
      </c>
      <c r="B80" s="55" t="str">
        <f>Source!G117</f>
        <v>Разборка воздуховодов из листовой стали толщиной до 0,9 мм, диаметр/периметр до 660/2070 мм</v>
      </c>
      <c r="C80" s="56" t="str">
        <f>Source!H117</f>
        <v>100 м2</v>
      </c>
      <c r="D80" s="57">
        <f>Source!I117</f>
        <v>0.654</v>
      </c>
      <c r="E80" s="54"/>
    </row>
    <row r="81" spans="1:5" ht="14.25">
      <c r="A81" s="54" t="str">
        <f>Source!E118</f>
        <v>4</v>
      </c>
      <c r="B81" s="55" t="str">
        <f>Source!G118</f>
        <v>Демонтаж радиатора массой до 80 кг</v>
      </c>
      <c r="C81" s="56" t="str">
        <f>Source!H118</f>
        <v>100 шт.</v>
      </c>
      <c r="D81" s="57">
        <f>Source!I118</f>
        <v>0.01</v>
      </c>
      <c r="E81" s="54"/>
    </row>
    <row r="82" spans="1:5" ht="28.5">
      <c r="A82" s="54" t="str">
        <f>Source!E119</f>
        <v>5</v>
      </c>
      <c r="B82" s="55" t="str">
        <f>Source!G119</f>
        <v>Смена вентиляционных решеток стальных штампованных, тип РШ, размеры 200х200 мм</v>
      </c>
      <c r="C82" s="56" t="str">
        <f>Source!H119</f>
        <v>100 шт.</v>
      </c>
      <c r="D82" s="57">
        <f>Source!I119</f>
        <v>0.18</v>
      </c>
      <c r="E82" s="54"/>
    </row>
    <row r="83" spans="1:5" ht="14.25">
      <c r="A83" s="54" t="str">
        <f>Source!E120</f>
        <v>6</v>
      </c>
      <c r="B83" s="55" t="str">
        <f>Source!G120</f>
        <v>Демонтаж центробежных вентиляторов массой до 0,12 т</v>
      </c>
      <c r="C83" s="56" t="str">
        <f>Source!H120</f>
        <v>10 шт.</v>
      </c>
      <c r="D83" s="57">
        <f>Source!I120</f>
        <v>0.2</v>
      </c>
      <c r="E83" s="54"/>
    </row>
    <row r="84" spans="1:31" ht="16.5">
      <c r="A84" s="84" t="str">
        <f>CONCATENATE("Раздел: ",Source!G148)</f>
        <v>Раздел: Строительные работы</v>
      </c>
      <c r="B84" s="84"/>
      <c r="C84" s="84"/>
      <c r="D84" s="84"/>
      <c r="E84" s="84"/>
      <c r="AE84" s="47" t="str">
        <f>CONCATENATE("Раздел: ",Source!G148)</f>
        <v>Раздел: Строительные работы</v>
      </c>
    </row>
    <row r="85" spans="1:5" ht="28.5">
      <c r="A85" s="54" t="str">
        <f>Source!E152</f>
        <v>1</v>
      </c>
      <c r="B85" s="55" t="str">
        <f>Source!G152</f>
        <v>Устройство огнезащитного покрытия воздуховодов приточно-вытяжных систем составом "Файрекс-300" с пределом огнестойкости 0,5 часа</v>
      </c>
      <c r="C85" s="56" t="str">
        <f>Source!H152</f>
        <v>100 м2</v>
      </c>
      <c r="D85" s="57">
        <f>Source!I152</f>
        <v>0.155</v>
      </c>
      <c r="E85" s="54"/>
    </row>
    <row r="86" spans="1:5" ht="28.5">
      <c r="A86" s="50" t="str">
        <f>Source!E153</f>
        <v>2</v>
      </c>
      <c r="B86" s="51" t="str">
        <f>Source!G153</f>
        <v>Ремонт вентиляционных коробов и каналов - прочистка каналов с пробивкой и заделкой отверстий</v>
      </c>
      <c r="C86" s="52" t="str">
        <f>Source!H153</f>
        <v>100 м</v>
      </c>
      <c r="D86" s="53">
        <f>Source!I153</f>
        <v>3.05</v>
      </c>
      <c r="E86" s="50"/>
    </row>
    <row r="89" spans="1:5" ht="15">
      <c r="A89" s="38" t="s">
        <v>503</v>
      </c>
      <c r="B89" s="38"/>
      <c r="C89" s="38" t="s">
        <v>504</v>
      </c>
      <c r="D89" s="38"/>
      <c r="E89" s="38"/>
    </row>
  </sheetData>
  <sheetProtection/>
  <mergeCells count="10">
    <mergeCell ref="A19:E19"/>
    <mergeCell ref="A20:E20"/>
    <mergeCell ref="A77:E77"/>
    <mergeCell ref="A84:E84"/>
    <mergeCell ref="C2:D2"/>
    <mergeCell ref="C4:D4"/>
    <mergeCell ref="C6:D6"/>
    <mergeCell ref="B8:C8"/>
    <mergeCell ref="A11:D11"/>
    <mergeCell ref="A12:D12"/>
  </mergeCells>
  <printOptions/>
  <pageMargins left="0.4" right="0.2" top="0.2" bottom="0.4" header="0.2" footer="0.2"/>
  <pageSetup horizontalDpi="600" verticalDpi="600" orientation="portrait" paperSize="9" scale="75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522</v>
      </c>
      <c r="B1" t="s">
        <v>523</v>
      </c>
      <c r="C1" t="s">
        <v>524</v>
      </c>
      <c r="D1" t="s">
        <v>525</v>
      </c>
      <c r="E1" t="s">
        <v>526</v>
      </c>
      <c r="F1" t="s">
        <v>527</v>
      </c>
      <c r="G1" t="s">
        <v>528</v>
      </c>
      <c r="H1" t="s">
        <v>529</v>
      </c>
      <c r="I1" t="s">
        <v>530</v>
      </c>
      <c r="J1" t="s">
        <v>531</v>
      </c>
    </row>
    <row r="2" spans="1:10" ht="12.75">
      <c r="A2">
        <v>1</v>
      </c>
      <c r="B2">
        <v>0</v>
      </c>
      <c r="C2">
        <v>1</v>
      </c>
      <c r="D2">
        <v>1</v>
      </c>
      <c r="E2">
        <v>1</v>
      </c>
      <c r="F2">
        <v>1</v>
      </c>
      <c r="G2">
        <v>0</v>
      </c>
      <c r="H2">
        <v>0</v>
      </c>
      <c r="I2">
        <v>1</v>
      </c>
      <c r="J2">
        <v>0</v>
      </c>
    </row>
    <row r="4" spans="1:17" ht="12.75">
      <c r="A4" t="s">
        <v>505</v>
      </c>
      <c r="B4" t="s">
        <v>506</v>
      </c>
      <c r="C4" t="s">
        <v>507</v>
      </c>
      <c r="D4" t="s">
        <v>508</v>
      </c>
      <c r="E4" t="s">
        <v>509</v>
      </c>
      <c r="F4" t="s">
        <v>510</v>
      </c>
      <c r="G4" t="s">
        <v>511</v>
      </c>
      <c r="H4" t="s">
        <v>512</v>
      </c>
      <c r="I4" t="s">
        <v>513</v>
      </c>
      <c r="J4" t="s">
        <v>514</v>
      </c>
      <c r="K4" t="s">
        <v>515</v>
      </c>
      <c r="L4" t="s">
        <v>516</v>
      </c>
      <c r="M4" t="s">
        <v>517</v>
      </c>
      <c r="N4" t="s">
        <v>518</v>
      </c>
      <c r="O4" t="s">
        <v>519</v>
      </c>
      <c r="P4" t="s">
        <v>520</v>
      </c>
      <c r="Q4" t="s">
        <v>521</v>
      </c>
    </row>
    <row r="6" spans="1:7" ht="12.75">
      <c r="A6">
        <f>Source!A20</f>
        <v>3</v>
      </c>
      <c r="B6">
        <v>20</v>
      </c>
      <c r="G6" t="str">
        <f>Source!G20</f>
        <v>Новая локальная смета</v>
      </c>
    </row>
    <row r="7" spans="1:7" ht="12.75">
      <c r="A7">
        <f>Source!A24</f>
        <v>4</v>
      </c>
      <c r="B7">
        <v>24</v>
      </c>
      <c r="G7" t="str">
        <f>Source!G24</f>
        <v>Монтажные работы</v>
      </c>
    </row>
    <row r="8" spans="1:17" ht="12.75">
      <c r="A8">
        <f>Source!A28</f>
        <v>17</v>
      </c>
      <c r="C8">
        <v>3</v>
      </c>
      <c r="D8">
        <v>0</v>
      </c>
      <c r="E8">
        <f>SmtRes!AV2</f>
        <v>0</v>
      </c>
      <c r="F8" t="str">
        <f>SmtRes!I2</f>
        <v>21.1-10-274</v>
      </c>
      <c r="G8" t="str">
        <f>SmtRes!K2</f>
        <v>Канаты (тросы) стальные, без органического сердечника, тип ТК-1к9, светлые, диаметр 3,0 мм</v>
      </c>
      <c r="H8" t="str">
        <f>SmtRes!O2</f>
        <v>м</v>
      </c>
      <c r="I8">
        <f>SmtRes!Y2*Source!I28</f>
        <v>18.6</v>
      </c>
      <c r="J8">
        <f>SmtRes!AO2</f>
        <v>1</v>
      </c>
      <c r="K8">
        <f>SmtRes!AE2</f>
        <v>6.785</v>
      </c>
      <c r="L8">
        <f>I8*K8</f>
        <v>126.20100000000001</v>
      </c>
      <c r="M8">
        <f>SmtRes!AA2</f>
        <v>6.79</v>
      </c>
      <c r="N8">
        <f>I8*M8</f>
        <v>126.29400000000001</v>
      </c>
      <c r="O8">
        <f>SmtRes!X2</f>
        <v>878644720</v>
      </c>
      <c r="P8">
        <v>1055448766</v>
      </c>
      <c r="Q8">
        <v>-20699806</v>
      </c>
    </row>
    <row r="9" spans="1:17" ht="12.75">
      <c r="A9">
        <f>Source!A29</f>
        <v>18</v>
      </c>
      <c r="C9">
        <v>3</v>
      </c>
      <c r="D9">
        <f>Source!BI29</f>
        <v>4</v>
      </c>
      <c r="E9">
        <f>Source!FS29</f>
        <v>0</v>
      </c>
      <c r="F9" t="str">
        <f>Source!F29</f>
        <v>цена поставщика Том 1. п.14</v>
      </c>
      <c r="G9" t="str">
        <f>Source!G29</f>
        <v>Клапан огнезадерживающий КЛОП-2 с эл. приводом Белимо 500х500 цена=7990/1,18=6771,19</v>
      </c>
      <c r="H9" t="str">
        <f>Source!H29</f>
        <v>ШТ</v>
      </c>
      <c r="I9">
        <f>Source!I29</f>
        <v>2</v>
      </c>
      <c r="J9">
        <v>1</v>
      </c>
      <c r="K9">
        <f>Source!AC29</f>
        <v>6771.19</v>
      </c>
      <c r="L9">
        <f>K9*I9</f>
        <v>13542.38</v>
      </c>
      <c r="M9">
        <f>ROUND(Source!FF29/(1+Source!FD29/100),2)</f>
        <v>6771.19</v>
      </c>
      <c r="N9">
        <f>M9*I9</f>
        <v>13542.38</v>
      </c>
      <c r="O9">
        <f>Source!GF29</f>
        <v>-1860548929</v>
      </c>
      <c r="P9">
        <v>750906492</v>
      </c>
      <c r="Q9">
        <v>750906492</v>
      </c>
    </row>
    <row r="10" spans="1:17" ht="12.75">
      <c r="A10">
        <f>Source!A30</f>
        <v>17</v>
      </c>
      <c r="C10">
        <v>3</v>
      </c>
      <c r="D10">
        <v>0</v>
      </c>
      <c r="E10">
        <f>SmtRes!AV15</f>
        <v>0</v>
      </c>
      <c r="F10" t="str">
        <f>SmtRes!I15</f>
        <v>21.3-4-94</v>
      </c>
      <c r="G10" t="str">
        <f>SmtRes!K15</f>
        <v>Арматурная сталь для изготовления арматурных изделий на строительной площадке, класс А-1, диаметр 12 мм</v>
      </c>
      <c r="H10" t="str">
        <f>SmtRes!O15</f>
        <v>т</v>
      </c>
      <c r="I10">
        <f>SmtRes!Y15*Source!I30</f>
        <v>0.08771999999999999</v>
      </c>
      <c r="J10">
        <f>SmtRes!AO15</f>
        <v>1</v>
      </c>
      <c r="K10">
        <f>SmtRes!AE15</f>
        <v>29334.55</v>
      </c>
      <c r="L10">
        <f>I10*K10</f>
        <v>2573.226726</v>
      </c>
      <c r="M10">
        <f>SmtRes!AA15</f>
        <v>29334.55</v>
      </c>
      <c r="N10">
        <f>I10*M10</f>
        <v>2573.226726</v>
      </c>
      <c r="O10">
        <f>SmtRes!X15</f>
        <v>939222716</v>
      </c>
      <c r="P10">
        <v>-1134729239</v>
      </c>
      <c r="Q10">
        <v>-1134729239</v>
      </c>
    </row>
    <row r="11" spans="1:17" ht="12.75">
      <c r="A11">
        <f>Source!A30</f>
        <v>17</v>
      </c>
      <c r="C11">
        <v>3</v>
      </c>
      <c r="D11">
        <v>0</v>
      </c>
      <c r="E11">
        <f>SmtRes!AV14</f>
        <v>0</v>
      </c>
      <c r="F11" t="str">
        <f>SmtRes!I14</f>
        <v>21.3-2-14</v>
      </c>
      <c r="G11" t="str">
        <f>SmtRes!K14</f>
        <v>Растворы цементные, марка 75</v>
      </c>
      <c r="H11" t="str">
        <f>SmtRes!O14</f>
        <v>м3</v>
      </c>
      <c r="I11">
        <f>SmtRes!Y14*Source!I30</f>
        <v>0.0612</v>
      </c>
      <c r="J11">
        <f>SmtRes!AO14</f>
        <v>1</v>
      </c>
      <c r="K11">
        <f>SmtRes!AE14</f>
        <v>2834.05</v>
      </c>
      <c r="L11">
        <f>I11*K11</f>
        <v>173.44386</v>
      </c>
      <c r="M11">
        <f>SmtRes!AA14</f>
        <v>2834.05</v>
      </c>
      <c r="N11">
        <f>I11*M11</f>
        <v>173.44386</v>
      </c>
      <c r="O11">
        <f>SmtRes!X14</f>
        <v>184829274</v>
      </c>
      <c r="P11">
        <v>2110942179</v>
      </c>
      <c r="Q11">
        <v>2110942179</v>
      </c>
    </row>
    <row r="12" spans="1:17" ht="12.75">
      <c r="A12">
        <f>Source!A30</f>
        <v>17</v>
      </c>
      <c r="C12">
        <v>3</v>
      </c>
      <c r="D12">
        <v>0</v>
      </c>
      <c r="E12">
        <f>SmtRes!AV7</f>
        <v>0</v>
      </c>
      <c r="F12" t="str">
        <f>SmtRes!I7</f>
        <v>21.1-23-10</v>
      </c>
      <c r="G12" t="str">
        <f>SmtRes!K7</f>
        <v>Электроды, тип Э-42А, диаметр 4-6 мм</v>
      </c>
      <c r="H12" t="str">
        <f>SmtRes!O7</f>
        <v>т</v>
      </c>
      <c r="I12">
        <f>SmtRes!Y7*Source!I30</f>
        <v>0.02244</v>
      </c>
      <c r="J12">
        <f>SmtRes!AO7</f>
        <v>1</v>
      </c>
      <c r="K12">
        <f>SmtRes!AE7</f>
        <v>109898.69</v>
      </c>
      <c r="L12">
        <f>I12*K12</f>
        <v>2466.1266036</v>
      </c>
      <c r="M12">
        <f>SmtRes!AA7</f>
        <v>109898.69</v>
      </c>
      <c r="N12">
        <f>I12*M12</f>
        <v>2466.1266036</v>
      </c>
      <c r="O12">
        <f>SmtRes!X7</f>
        <v>-1544492133</v>
      </c>
      <c r="P12">
        <v>349305125</v>
      </c>
      <c r="Q12">
        <v>349305125</v>
      </c>
    </row>
    <row r="13" spans="1:17" ht="12.75">
      <c r="A13">
        <f>Source!A30</f>
        <v>17</v>
      </c>
      <c r="C13">
        <v>2</v>
      </c>
      <c r="D13">
        <v>0</v>
      </c>
      <c r="E13">
        <f>SmtRes!AV6</f>
        <v>0</v>
      </c>
      <c r="F13" t="str">
        <f>SmtRes!I6</f>
        <v>22.1-30-102</v>
      </c>
      <c r="G13" t="str">
        <f>SmtRes!K6</f>
        <v>Дрели электрические, двухскоростные, мощностью 600 Вт</v>
      </c>
      <c r="H13" t="str">
        <f>SmtRes!O6</f>
        <v>маш.-ч</v>
      </c>
      <c r="I13">
        <f>SmtRes!Y6*Source!I30</f>
        <v>69.36</v>
      </c>
      <c r="J13">
        <f>SmtRes!AO6</f>
        <v>1</v>
      </c>
      <c r="K13">
        <f>SmtRes!AF6</f>
        <v>6.05</v>
      </c>
      <c r="L13">
        <f>I13*K13</f>
        <v>419.628</v>
      </c>
      <c r="M13">
        <f>SmtRes!AB6</f>
        <v>6.05</v>
      </c>
      <c r="N13">
        <f>I13*M13</f>
        <v>419.628</v>
      </c>
      <c r="O13">
        <f>SmtRes!X6</f>
        <v>1830593596</v>
      </c>
      <c r="P13">
        <v>-735925214</v>
      </c>
      <c r="Q13">
        <v>-735925214</v>
      </c>
    </row>
    <row r="14" spans="1:17" ht="12.75">
      <c r="A14">
        <f>Source!A30</f>
        <v>17</v>
      </c>
      <c r="C14">
        <v>2</v>
      </c>
      <c r="D14">
        <v>0</v>
      </c>
      <c r="E14">
        <f>SmtRes!AV5</f>
        <v>0</v>
      </c>
      <c r="F14" t="str">
        <f>SmtRes!I5</f>
        <v>22.1-13-14</v>
      </c>
      <c r="G14" t="str">
        <f>SmtRes!K5</f>
        <v>Установки для сварки ручной дуговой (постоянного тока)</v>
      </c>
      <c r="H14" t="str">
        <f>SmtRes!O5</f>
        <v>маш.-ч</v>
      </c>
      <c r="I14">
        <f>SmtRes!Y5*Source!I30</f>
        <v>24.48</v>
      </c>
      <c r="J14">
        <f>SmtRes!AO5</f>
        <v>1</v>
      </c>
      <c r="K14">
        <f>SmtRes!AF5</f>
        <v>32.82</v>
      </c>
      <c r="L14">
        <f>I14*K14</f>
        <v>803.4336000000001</v>
      </c>
      <c r="M14">
        <f>SmtRes!AB5</f>
        <v>32.82</v>
      </c>
      <c r="N14">
        <f>I14*M14</f>
        <v>803.4336000000001</v>
      </c>
      <c r="O14">
        <f>SmtRes!X5</f>
        <v>144256025</v>
      </c>
      <c r="P14">
        <v>-1208362683</v>
      </c>
      <c r="Q14">
        <v>-1208362683</v>
      </c>
    </row>
    <row r="15" spans="1:17" ht="12.75">
      <c r="A15">
        <f>Source!A31</f>
        <v>18</v>
      </c>
      <c r="C15">
        <v>3</v>
      </c>
      <c r="D15">
        <f>Source!BI31</f>
        <v>4</v>
      </c>
      <c r="E15">
        <f>Source!FS31</f>
        <v>0</v>
      </c>
      <c r="F15" t="str">
        <f>Source!F31</f>
        <v>21.19-11-24</v>
      </c>
      <c r="G15" t="str">
        <f>Source!G31</f>
        <v>Решетки вентиляционные, жалюзийные, регулируемые, алюминиевые, марка АДР, размер 200х200 мм</v>
      </c>
      <c r="H15" t="str">
        <f>Source!H31</f>
        <v>шт.</v>
      </c>
      <c r="I15">
        <f>Source!I31</f>
        <v>60</v>
      </c>
      <c r="J15">
        <v>1</v>
      </c>
      <c r="K15">
        <f>Source!AC31</f>
        <v>927.5</v>
      </c>
      <c r="L15">
        <f aca="true" t="shared" si="0" ref="L15:L20">K15*I15</f>
        <v>55650</v>
      </c>
      <c r="M15">
        <f>Source!AC31*IF(Source!BC31&lt;&gt;0,Source!BC31,1)</f>
        <v>927.5</v>
      </c>
      <c r="N15">
        <f aca="true" t="shared" si="1" ref="N15:N20">M15*I15</f>
        <v>55650</v>
      </c>
      <c r="O15">
        <f>Source!GF31</f>
        <v>-2070765893</v>
      </c>
      <c r="P15">
        <v>-551632923</v>
      </c>
      <c r="Q15">
        <v>-551632923</v>
      </c>
    </row>
    <row r="16" spans="1:17" ht="12.75">
      <c r="A16">
        <f>Source!A32</f>
        <v>18</v>
      </c>
      <c r="C16">
        <v>3</v>
      </c>
      <c r="D16">
        <f>Source!BI32</f>
        <v>4</v>
      </c>
      <c r="E16">
        <f>Source!FS32</f>
        <v>0</v>
      </c>
      <c r="F16" t="str">
        <f>Source!F32</f>
        <v>21.19-11-31</v>
      </c>
      <c r="G16" t="str">
        <f>Source!G32</f>
        <v>Решетки вентиляционные, жалюзийные, регулируемые, алюминиевые, марка АМР, размер 150х150 мм</v>
      </c>
      <c r="H16" t="str">
        <f>Source!H32</f>
        <v>шт.</v>
      </c>
      <c r="I16">
        <f>Source!I32</f>
        <v>130</v>
      </c>
      <c r="J16">
        <v>1</v>
      </c>
      <c r="K16">
        <f>Source!AC32</f>
        <v>559.21</v>
      </c>
      <c r="L16">
        <f t="shared" si="0"/>
        <v>72697.3</v>
      </c>
      <c r="M16">
        <f>Source!AC32*IF(Source!BC32&lt;&gt;0,Source!BC32,1)</f>
        <v>559.21</v>
      </c>
      <c r="N16">
        <f t="shared" si="1"/>
        <v>72697.3</v>
      </c>
      <c r="O16">
        <f>Source!GF32</f>
        <v>331926184</v>
      </c>
      <c r="P16">
        <v>1836051098</v>
      </c>
      <c r="Q16">
        <v>1836051098</v>
      </c>
    </row>
    <row r="17" spans="1:17" ht="12.75">
      <c r="A17">
        <f>Source!A33</f>
        <v>18</v>
      </c>
      <c r="C17">
        <v>3</v>
      </c>
      <c r="D17">
        <f>Source!BI33</f>
        <v>4</v>
      </c>
      <c r="E17">
        <f>Source!FS33</f>
        <v>0</v>
      </c>
      <c r="F17" t="str">
        <f>Source!F33</f>
        <v>21.19-11-43</v>
      </c>
      <c r="G17" t="str">
        <f>Source!G33</f>
        <v>Решетки вентиляционные, жалюзийные, регулируемые, стальные, марка РС-Г, размер 325х225 мм</v>
      </c>
      <c r="H17" t="str">
        <f>Source!H33</f>
        <v>шт.</v>
      </c>
      <c r="I17">
        <f>Source!I33</f>
        <v>4</v>
      </c>
      <c r="J17">
        <v>1</v>
      </c>
      <c r="K17">
        <f>Source!AC33</f>
        <v>443.31</v>
      </c>
      <c r="L17">
        <f t="shared" si="0"/>
        <v>1773.24</v>
      </c>
      <c r="M17">
        <f>Source!AC33*IF(Source!BC33&lt;&gt;0,Source!BC33,1)</f>
        <v>443.31</v>
      </c>
      <c r="N17">
        <f t="shared" si="1"/>
        <v>1773.24</v>
      </c>
      <c r="O17">
        <f>Source!GF33</f>
        <v>1042904183</v>
      </c>
      <c r="P17">
        <v>1864930959</v>
      </c>
      <c r="Q17">
        <v>1864930959</v>
      </c>
    </row>
    <row r="18" spans="1:17" ht="12.75">
      <c r="A18">
        <f>Source!A34</f>
        <v>18</v>
      </c>
      <c r="C18">
        <v>3</v>
      </c>
      <c r="D18">
        <f>Source!BI34</f>
        <v>4</v>
      </c>
      <c r="E18">
        <f>Source!FS34</f>
        <v>0</v>
      </c>
      <c r="F18" t="str">
        <f>Source!F34</f>
        <v>21.19-11-39</v>
      </c>
      <c r="G18" t="str">
        <f>Source!G34</f>
        <v>Решетки вентиляционные, жалюзийные, регулируемые, стальные, марка РС-Г, размер 225х125 мм</v>
      </c>
      <c r="H18" t="str">
        <f>Source!H34</f>
        <v>шт.</v>
      </c>
      <c r="I18">
        <f>Source!I34</f>
        <v>1</v>
      </c>
      <c r="J18">
        <v>1</v>
      </c>
      <c r="K18">
        <f>Source!AC34</f>
        <v>328.69</v>
      </c>
      <c r="L18">
        <f t="shared" si="0"/>
        <v>328.69</v>
      </c>
      <c r="M18">
        <f>Source!AC34*IF(Source!BC34&lt;&gt;0,Source!BC34,1)</f>
        <v>328.69</v>
      </c>
      <c r="N18">
        <f t="shared" si="1"/>
        <v>328.69</v>
      </c>
      <c r="O18">
        <f>Source!GF34</f>
        <v>-1479987233</v>
      </c>
      <c r="P18">
        <v>-150952058</v>
      </c>
      <c r="Q18">
        <v>-150952058</v>
      </c>
    </row>
    <row r="19" spans="1:17" ht="12.75">
      <c r="A19">
        <f>Source!A35</f>
        <v>18</v>
      </c>
      <c r="C19">
        <v>3</v>
      </c>
      <c r="D19">
        <f>Source!BI35</f>
        <v>4</v>
      </c>
      <c r="E19">
        <f>Source!FS35</f>
        <v>0</v>
      </c>
      <c r="F19" t="str">
        <f>Source!F35</f>
        <v>21.19-11-49</v>
      </c>
      <c r="G19" t="str">
        <f>Source!G35</f>
        <v>Решетки вентиляционные, жалюзийные, регулируемые, стальные, марка РС-Г, размер 525х225 мм</v>
      </c>
      <c r="H19" t="str">
        <f>Source!H35</f>
        <v>шт.</v>
      </c>
      <c r="I19">
        <f>Source!I35</f>
        <v>8</v>
      </c>
      <c r="J19">
        <v>1</v>
      </c>
      <c r="K19">
        <f>Source!AC35</f>
        <v>658.5</v>
      </c>
      <c r="L19">
        <f t="shared" si="0"/>
        <v>5268</v>
      </c>
      <c r="M19">
        <f>Source!AC35*IF(Source!BC35&lt;&gt;0,Source!BC35,1)</f>
        <v>658.5</v>
      </c>
      <c r="N19">
        <f t="shared" si="1"/>
        <v>5268</v>
      </c>
      <c r="O19">
        <f>Source!GF35</f>
        <v>-1882413973</v>
      </c>
      <c r="P19">
        <v>-1739580802</v>
      </c>
      <c r="Q19">
        <v>-1739580802</v>
      </c>
    </row>
    <row r="20" spans="1:17" ht="12.75">
      <c r="A20">
        <f>Source!A36</f>
        <v>18</v>
      </c>
      <c r="C20">
        <v>3</v>
      </c>
      <c r="D20">
        <f>Source!BI36</f>
        <v>4</v>
      </c>
      <c r="E20">
        <f>Source!FS36</f>
        <v>0</v>
      </c>
      <c r="F20" t="str">
        <f>Source!F36</f>
        <v>21.19-11-40</v>
      </c>
      <c r="G20" t="str">
        <f>Source!G36</f>
        <v>Решетки вентиляционные, жалюзийные, регулируемые, стальные, марка РС-Г, размер 225х225 мм</v>
      </c>
      <c r="H20" t="str">
        <f>Source!H36</f>
        <v>шт.</v>
      </c>
      <c r="I20">
        <f>Source!I36</f>
        <v>1</v>
      </c>
      <c r="J20">
        <v>1</v>
      </c>
      <c r="K20">
        <f>Source!AC36</f>
        <v>425.16</v>
      </c>
      <c r="L20">
        <f t="shared" si="0"/>
        <v>425.16</v>
      </c>
      <c r="M20">
        <f>Source!AC36*IF(Source!BC36&lt;&gt;0,Source!BC36,1)</f>
        <v>425.16</v>
      </c>
      <c r="N20">
        <f t="shared" si="1"/>
        <v>425.16</v>
      </c>
      <c r="O20">
        <f>Source!GF36</f>
        <v>1261032845</v>
      </c>
      <c r="P20">
        <v>-1258785657</v>
      </c>
      <c r="Q20">
        <v>-1258785657</v>
      </c>
    </row>
    <row r="21" spans="1:17" ht="12.75">
      <c r="A21">
        <f>Source!A37</f>
        <v>17</v>
      </c>
      <c r="C21">
        <v>3</v>
      </c>
      <c r="D21">
        <v>0</v>
      </c>
      <c r="E21">
        <f>SmtRes!AV24</f>
        <v>0</v>
      </c>
      <c r="F21" t="str">
        <f>SmtRes!I24</f>
        <v>21.3-4-12</v>
      </c>
      <c r="G21" t="str">
        <f>SmtRes!K24</f>
        <v>Арматурные заготовки (стержни, хомуты и т.п.), не собранные в каркасы или сетки, анкерные детали простые</v>
      </c>
      <c r="H21" t="str">
        <f>SmtRes!O24</f>
        <v>т</v>
      </c>
      <c r="I21">
        <f>SmtRes!Y24*Source!I37</f>
        <v>0.0022</v>
      </c>
      <c r="J21">
        <f>SmtRes!AO24</f>
        <v>1</v>
      </c>
      <c r="K21">
        <f>SmtRes!AE24</f>
        <v>36416.11</v>
      </c>
      <c r="L21">
        <f aca="true" t="shared" si="2" ref="L21:L28">I21*K21</f>
        <v>80.115442</v>
      </c>
      <c r="M21">
        <f>SmtRes!AA24</f>
        <v>36416.11</v>
      </c>
      <c r="N21">
        <f aca="true" t="shared" si="3" ref="N21:N28">I21*M21</f>
        <v>80.115442</v>
      </c>
      <c r="O21">
        <f>SmtRes!X24</f>
        <v>-369541995</v>
      </c>
      <c r="P21">
        <v>-186562129</v>
      </c>
      <c r="Q21">
        <v>-186562129</v>
      </c>
    </row>
    <row r="22" spans="1:17" ht="12.75">
      <c r="A22">
        <f>Source!A37</f>
        <v>17</v>
      </c>
      <c r="C22">
        <v>3</v>
      </c>
      <c r="D22">
        <v>0</v>
      </c>
      <c r="E22">
        <f>SmtRes!AV23</f>
        <v>0</v>
      </c>
      <c r="F22" t="str">
        <f>SmtRes!I23</f>
        <v>21.3-2-13</v>
      </c>
      <c r="G22" t="str">
        <f>SmtRes!K23</f>
        <v>Растворы цементные, марка 50</v>
      </c>
      <c r="H22" t="str">
        <f>SmtRes!O23</f>
        <v>м3</v>
      </c>
      <c r="I22">
        <f>SmtRes!Y23*Source!I37</f>
        <v>0.014</v>
      </c>
      <c r="J22">
        <f>SmtRes!AO23</f>
        <v>1</v>
      </c>
      <c r="K22">
        <f>SmtRes!AE23</f>
        <v>2593.7</v>
      </c>
      <c r="L22">
        <f t="shared" si="2"/>
        <v>36.3118</v>
      </c>
      <c r="M22">
        <f>SmtRes!AA23</f>
        <v>2593.7</v>
      </c>
      <c r="N22">
        <f t="shared" si="3"/>
        <v>36.3118</v>
      </c>
      <c r="O22">
        <f>SmtRes!X23</f>
        <v>-1623564269</v>
      </c>
      <c r="P22">
        <v>-1197852750</v>
      </c>
      <c r="Q22">
        <v>-1197852750</v>
      </c>
    </row>
    <row r="23" spans="1:17" ht="12.75">
      <c r="A23">
        <f>Source!A37</f>
        <v>17</v>
      </c>
      <c r="C23">
        <v>3</v>
      </c>
      <c r="D23">
        <v>0</v>
      </c>
      <c r="E23">
        <f>SmtRes!AV22</f>
        <v>0</v>
      </c>
      <c r="F23" t="str">
        <f>SmtRes!I22</f>
        <v>21.12-9-9</v>
      </c>
      <c r="G23" t="str">
        <f>SmtRes!K22</f>
        <v>Фланцы стальные плоские приварные с соединительным выступом, из стали ВСт3СП, ГОСТ 12820-80, условное давление 1 (10) МПа (кгс/см2), диаметр условного прохода 50мм</v>
      </c>
      <c r="H23" t="str">
        <f>SmtRes!O22</f>
        <v>шт.</v>
      </c>
      <c r="I23">
        <f>SmtRes!Y22*Source!I37</f>
        <v>1</v>
      </c>
      <c r="J23">
        <f>SmtRes!AO22</f>
        <v>1</v>
      </c>
      <c r="K23">
        <f>SmtRes!AE22</f>
        <v>152.4</v>
      </c>
      <c r="L23">
        <f t="shared" si="2"/>
        <v>152.4</v>
      </c>
      <c r="M23">
        <f>SmtRes!AA22</f>
        <v>152.4</v>
      </c>
      <c r="N23">
        <f t="shared" si="3"/>
        <v>152.4</v>
      </c>
      <c r="O23">
        <f>SmtRes!X22</f>
        <v>484185075</v>
      </c>
      <c r="P23">
        <v>624526313</v>
      </c>
      <c r="Q23">
        <v>624526313</v>
      </c>
    </row>
    <row r="24" spans="1:17" ht="12.75">
      <c r="A24">
        <f>Source!A37</f>
        <v>17</v>
      </c>
      <c r="C24">
        <v>3</v>
      </c>
      <c r="D24">
        <v>0</v>
      </c>
      <c r="E24">
        <f>SmtRes!AV21</f>
        <v>0</v>
      </c>
      <c r="F24" t="str">
        <f>SmtRes!I21</f>
        <v>21.12-9-8</v>
      </c>
      <c r="G24" t="str">
        <f>SmtRes!K21</f>
        <v>Фланцы стальные плоские приварные с соединительным выступом, из стали ВСт3СП, ГОСТ 12820-80, условное давление 1 (10) МПа (кгс/см2), диаметр условного прохода 40мм</v>
      </c>
      <c r="H24" t="str">
        <f>SmtRes!O21</f>
        <v>шт.</v>
      </c>
      <c r="I24">
        <f>SmtRes!Y21*Source!I37</f>
        <v>1</v>
      </c>
      <c r="J24">
        <f>SmtRes!AO21</f>
        <v>1</v>
      </c>
      <c r="K24">
        <f>SmtRes!AE21</f>
        <v>131.99</v>
      </c>
      <c r="L24">
        <f t="shared" si="2"/>
        <v>131.99</v>
      </c>
      <c r="M24">
        <f>SmtRes!AA21</f>
        <v>131.99</v>
      </c>
      <c r="N24">
        <f t="shared" si="3"/>
        <v>131.99</v>
      </c>
      <c r="O24">
        <f>SmtRes!X21</f>
        <v>16921731</v>
      </c>
      <c r="P24">
        <v>7356966</v>
      </c>
      <c r="Q24">
        <v>7356966</v>
      </c>
    </row>
    <row r="25" spans="1:17" ht="12.75">
      <c r="A25">
        <f>Source!A37</f>
        <v>17</v>
      </c>
      <c r="C25">
        <v>3</v>
      </c>
      <c r="D25">
        <v>0</v>
      </c>
      <c r="E25">
        <f>SmtRes!AV20</f>
        <v>0</v>
      </c>
      <c r="F25" t="str">
        <f>SmtRes!I20</f>
        <v>21.1-25-305</v>
      </c>
      <c r="G25" t="str">
        <f>SmtRes!K20</f>
        <v>Резина техническая прессованная</v>
      </c>
      <c r="H25" t="str">
        <f>SmtRes!O20</f>
        <v>т</v>
      </c>
      <c r="I25">
        <f>SmtRes!Y20*Source!I37</f>
        <v>7E-05</v>
      </c>
      <c r="J25">
        <f>SmtRes!AO20</f>
        <v>1</v>
      </c>
      <c r="K25">
        <f>SmtRes!AE20</f>
        <v>142669.85</v>
      </c>
      <c r="L25">
        <f t="shared" si="2"/>
        <v>9.9868895</v>
      </c>
      <c r="M25">
        <f>SmtRes!AA20</f>
        <v>142669.85</v>
      </c>
      <c r="N25">
        <f t="shared" si="3"/>
        <v>9.9868895</v>
      </c>
      <c r="O25">
        <f>SmtRes!X20</f>
        <v>218864245</v>
      </c>
      <c r="P25">
        <v>-1557787238</v>
      </c>
      <c r="Q25">
        <v>-1557787238</v>
      </c>
    </row>
    <row r="26" spans="1:17" ht="12.75">
      <c r="A26">
        <f>Source!A37</f>
        <v>17</v>
      </c>
      <c r="C26">
        <v>3</v>
      </c>
      <c r="D26">
        <v>0</v>
      </c>
      <c r="E26">
        <f>SmtRes!AV19</f>
        <v>0</v>
      </c>
      <c r="F26" t="str">
        <f>SmtRes!I19</f>
        <v>21.1-23-9</v>
      </c>
      <c r="G26" t="str">
        <f>SmtRes!K19</f>
        <v>Электроды, тип Э-42, 46, 50, диаметр 4 - 6 мм</v>
      </c>
      <c r="H26" t="str">
        <f>SmtRes!O19</f>
        <v>т</v>
      </c>
      <c r="I26">
        <f>SmtRes!Y19*Source!I37</f>
        <v>0.00039</v>
      </c>
      <c r="J26">
        <f>SmtRes!AO19</f>
        <v>1</v>
      </c>
      <c r="K26">
        <f>SmtRes!AE19</f>
        <v>117957.19</v>
      </c>
      <c r="L26">
        <f t="shared" si="2"/>
        <v>46.0033041</v>
      </c>
      <c r="M26">
        <f>SmtRes!AA19</f>
        <v>117957.19</v>
      </c>
      <c r="N26">
        <f t="shared" si="3"/>
        <v>46.0033041</v>
      </c>
      <c r="O26">
        <f>SmtRes!X19</f>
        <v>209245722</v>
      </c>
      <c r="P26">
        <v>41259102</v>
      </c>
      <c r="Q26">
        <v>41259102</v>
      </c>
    </row>
    <row r="27" spans="1:17" ht="12.75">
      <c r="A27">
        <f>Source!A37</f>
        <v>17</v>
      </c>
      <c r="C27">
        <v>3</v>
      </c>
      <c r="D27">
        <v>0</v>
      </c>
      <c r="E27">
        <f>SmtRes!AV18</f>
        <v>0</v>
      </c>
      <c r="F27" t="str">
        <f>SmtRes!I18</f>
        <v>21.1-11-21</v>
      </c>
      <c r="G27" t="str">
        <f>SmtRes!K18</f>
        <v>Болты строительные черные с гайками и шайбами (10х100мм)</v>
      </c>
      <c r="H27" t="str">
        <f>SmtRes!O18</f>
        <v>т</v>
      </c>
      <c r="I27">
        <f>SmtRes!Y18*Source!I37</f>
        <v>0.00127</v>
      </c>
      <c r="J27">
        <f>SmtRes!AO18</f>
        <v>1</v>
      </c>
      <c r="K27">
        <f>SmtRes!AE18</f>
        <v>85160.23</v>
      </c>
      <c r="L27">
        <f t="shared" si="2"/>
        <v>108.15349210000001</v>
      </c>
      <c r="M27">
        <f>SmtRes!AA18</f>
        <v>85160.23</v>
      </c>
      <c r="N27">
        <f t="shared" si="3"/>
        <v>108.15349210000001</v>
      </c>
      <c r="O27">
        <f>SmtRes!X18</f>
        <v>-441702737</v>
      </c>
      <c r="P27">
        <v>868950196</v>
      </c>
      <c r="Q27">
        <v>868950196</v>
      </c>
    </row>
    <row r="28" spans="1:17" ht="12.75">
      <c r="A28">
        <f>Source!A37</f>
        <v>17</v>
      </c>
      <c r="C28">
        <v>2</v>
      </c>
      <c r="D28">
        <v>0</v>
      </c>
      <c r="E28">
        <f>SmtRes!AV17</f>
        <v>0</v>
      </c>
      <c r="F28" t="str">
        <f>SmtRes!I17</f>
        <v>22.1-13-14</v>
      </c>
      <c r="G28" t="str">
        <f>SmtRes!K17</f>
        <v>Установки для сварки ручной дуговой (постоянного тока)</v>
      </c>
      <c r="H28" t="str">
        <f>SmtRes!O17</f>
        <v>маш.-ч</v>
      </c>
      <c r="I28">
        <f>SmtRes!Y17*Source!I37</f>
        <v>0.56</v>
      </c>
      <c r="J28">
        <f>SmtRes!AO17</f>
        <v>1</v>
      </c>
      <c r="K28">
        <f>SmtRes!AF17</f>
        <v>32.82</v>
      </c>
      <c r="L28">
        <f t="shared" si="2"/>
        <v>18.3792</v>
      </c>
      <c r="M28">
        <f>SmtRes!AB17</f>
        <v>32.82</v>
      </c>
      <c r="N28">
        <f t="shared" si="3"/>
        <v>18.3792</v>
      </c>
      <c r="O28">
        <f>SmtRes!X17</f>
        <v>144256025</v>
      </c>
      <c r="P28">
        <v>-1208362683</v>
      </c>
      <c r="Q28">
        <v>-1208362683</v>
      </c>
    </row>
    <row r="29" spans="1:17" ht="12.75">
      <c r="A29">
        <f>Source!A38</f>
        <v>18</v>
      </c>
      <c r="C29">
        <v>3</v>
      </c>
      <c r="D29">
        <f>Source!BI38</f>
        <v>4</v>
      </c>
      <c r="E29">
        <f>Source!FS38</f>
        <v>0</v>
      </c>
      <c r="F29" t="str">
        <f>Source!F38</f>
        <v>цена поставщика Том1 п.1</v>
      </c>
      <c r="G29" t="str">
        <f>Source!G38</f>
        <v>Насос  ГНОМ 10-10 220/1,1 цена=8950/1,18=7584,75</v>
      </c>
      <c r="H29" t="str">
        <f>Source!H38</f>
        <v>ШТ</v>
      </c>
      <c r="I29">
        <f>Source!I38</f>
        <v>1</v>
      </c>
      <c r="J29">
        <v>1</v>
      </c>
      <c r="K29">
        <f>Source!AC38</f>
        <v>7584.75</v>
      </c>
      <c r="L29">
        <f>K29*I29</f>
        <v>7584.75</v>
      </c>
      <c r="M29">
        <f>ROUND(Source!FF38/(1+Source!FD38/100),2)</f>
        <v>7584.75</v>
      </c>
      <c r="N29">
        <f>M29*I29</f>
        <v>7584.75</v>
      </c>
      <c r="O29">
        <f>Source!GF38</f>
        <v>746369195</v>
      </c>
      <c r="P29">
        <v>398040139</v>
      </c>
      <c r="Q29">
        <v>398040139</v>
      </c>
    </row>
    <row r="30" spans="1:17" ht="12.75">
      <c r="A30">
        <f>Source!A39</f>
        <v>17</v>
      </c>
      <c r="C30">
        <v>3</v>
      </c>
      <c r="D30">
        <v>0</v>
      </c>
      <c r="E30">
        <f>SmtRes!AV29</f>
        <v>0</v>
      </c>
      <c r="F30" t="str">
        <f>SmtRes!I29</f>
        <v>21.1-23-9</v>
      </c>
      <c r="G30" t="str">
        <f>SmtRes!K29</f>
        <v>Электроды, тип Э-42, 46, 50, диаметр 4 - 6 мм</v>
      </c>
      <c r="H30" t="str">
        <f>SmtRes!O29</f>
        <v>т</v>
      </c>
      <c r="I30">
        <f>SmtRes!Y29*Source!I39</f>
        <v>2.121E-05</v>
      </c>
      <c r="J30">
        <f>SmtRes!AO29</f>
        <v>1</v>
      </c>
      <c r="K30">
        <f>SmtRes!AE29</f>
        <v>117957.19</v>
      </c>
      <c r="L30">
        <f>I30*K30</f>
        <v>2.5018719999</v>
      </c>
      <c r="M30">
        <f>SmtRes!AA29</f>
        <v>117957.19</v>
      </c>
      <c r="N30">
        <f>I30*M30</f>
        <v>2.5018719999</v>
      </c>
      <c r="O30">
        <f>SmtRes!X29</f>
        <v>209245722</v>
      </c>
      <c r="P30">
        <v>41259102</v>
      </c>
      <c r="Q30">
        <v>41259102</v>
      </c>
    </row>
    <row r="31" spans="1:17" ht="12.75">
      <c r="A31">
        <f>Source!A39</f>
        <v>17</v>
      </c>
      <c r="C31">
        <v>2</v>
      </c>
      <c r="D31">
        <v>0</v>
      </c>
      <c r="E31">
        <f>SmtRes!AV28</f>
        <v>0</v>
      </c>
      <c r="F31" t="str">
        <f>SmtRes!I28</f>
        <v>22.1-30-46</v>
      </c>
      <c r="G31" t="str">
        <f>SmtRes!K28</f>
        <v>Преобразователи частоты тока до 500 А</v>
      </c>
      <c r="H31" t="str">
        <f>SmtRes!O28</f>
        <v>маш.-ч</v>
      </c>
      <c r="I31">
        <f>SmtRes!Y28*Source!I39</f>
        <v>0.028784999999999998</v>
      </c>
      <c r="J31">
        <f>SmtRes!AO28</f>
        <v>1</v>
      </c>
      <c r="K31">
        <f>SmtRes!AF28</f>
        <v>23.13</v>
      </c>
      <c r="L31">
        <f>I31*K31</f>
        <v>0.6657970499999999</v>
      </c>
      <c r="M31">
        <f>SmtRes!AB28</f>
        <v>23.13</v>
      </c>
      <c r="N31">
        <f>I31*M31</f>
        <v>0.6657970499999999</v>
      </c>
      <c r="O31">
        <f>SmtRes!X28</f>
        <v>-174936754</v>
      </c>
      <c r="P31">
        <v>882167159</v>
      </c>
      <c r="Q31">
        <v>882167159</v>
      </c>
    </row>
    <row r="32" spans="1:17" ht="12.75">
      <c r="A32">
        <f>Source!A39</f>
        <v>17</v>
      </c>
      <c r="C32">
        <v>2</v>
      </c>
      <c r="D32">
        <v>0</v>
      </c>
      <c r="E32">
        <f>SmtRes!AV27</f>
        <v>0</v>
      </c>
      <c r="F32" t="str">
        <f>SmtRes!I27</f>
        <v>22.1-13-21</v>
      </c>
      <c r="G32" t="str">
        <f>SmtRes!K27</f>
        <v>Печи электрические для сушки сварочных материалов с регулированием температуры в пределах 80-500С</v>
      </c>
      <c r="H32" t="str">
        <f>SmtRes!O27</f>
        <v>маш.-ч</v>
      </c>
      <c r="I32">
        <f>SmtRes!Y27*Source!I39</f>
        <v>0.002424</v>
      </c>
      <c r="J32">
        <f>SmtRes!AO27</f>
        <v>1</v>
      </c>
      <c r="K32">
        <f>SmtRes!AF27</f>
        <v>46.29</v>
      </c>
      <c r="L32">
        <f>I32*K32</f>
        <v>0.11220696</v>
      </c>
      <c r="M32">
        <f>SmtRes!AB27</f>
        <v>46.29</v>
      </c>
      <c r="N32">
        <f>I32*M32</f>
        <v>0.11220696</v>
      </c>
      <c r="O32">
        <f>SmtRes!X27</f>
        <v>35090631</v>
      </c>
      <c r="P32">
        <v>1751598180</v>
      </c>
      <c r="Q32">
        <v>1751598180</v>
      </c>
    </row>
    <row r="33" spans="1:17" ht="12.75">
      <c r="A33">
        <f>Source!A40</f>
        <v>18</v>
      </c>
      <c r="C33">
        <v>3</v>
      </c>
      <c r="D33">
        <f>Source!BI40</f>
        <v>4</v>
      </c>
      <c r="E33">
        <f>Source!FS40</f>
        <v>0</v>
      </c>
      <c r="F33" t="str">
        <f>Source!F40</f>
        <v>цена поставщика Том 1. п.15</v>
      </c>
      <c r="G33" t="str">
        <f>Source!G40</f>
        <v>Дверь герметичная утепленная Дус 1,25х0,51 цена=4590/1,18=3889,83</v>
      </c>
      <c r="H33" t="str">
        <f>Source!H40</f>
        <v>ШТ</v>
      </c>
      <c r="I33">
        <f>Source!I40</f>
        <v>0.9999999999999999</v>
      </c>
      <c r="J33">
        <v>1</v>
      </c>
      <c r="K33">
        <f>Source!AC40</f>
        <v>3889.83</v>
      </c>
      <c r="L33">
        <f>K33*I33</f>
        <v>3889.8299999999995</v>
      </c>
      <c r="M33">
        <f>ROUND(Source!FF40/(1+Source!FD40/100),2)</f>
        <v>3889.83</v>
      </c>
      <c r="N33">
        <f>M33*I33</f>
        <v>3889.8299999999995</v>
      </c>
      <c r="O33">
        <f>Source!GF40</f>
        <v>-239010240</v>
      </c>
      <c r="P33">
        <v>1907461228</v>
      </c>
      <c r="Q33">
        <v>1907461228</v>
      </c>
    </row>
    <row r="34" spans="1:17" ht="12.75">
      <c r="A34">
        <f>Source!A41</f>
        <v>17</v>
      </c>
      <c r="C34">
        <v>3</v>
      </c>
      <c r="D34">
        <v>0</v>
      </c>
      <c r="E34">
        <f>SmtRes!AV38</f>
        <v>0</v>
      </c>
      <c r="F34" t="str">
        <f>SmtRes!I38</f>
        <v>21.1-25-400</v>
      </c>
      <c r="G34" t="str">
        <f>SmtRes!K38</f>
        <v>Шнур асбестовый общего назначения, марка ШАОН-1, диаметр 22-25 мм</v>
      </c>
      <c r="H34" t="str">
        <f>SmtRes!O38</f>
        <v>т</v>
      </c>
      <c r="I34">
        <f>SmtRes!Y38*Source!I41</f>
        <v>0.00018601</v>
      </c>
      <c r="J34">
        <f>SmtRes!AO38</f>
        <v>1</v>
      </c>
      <c r="K34">
        <f>SmtRes!AE38</f>
        <v>165838.61</v>
      </c>
      <c r="L34">
        <f aca="true" t="shared" si="4" ref="L34:L40">I34*K34</f>
        <v>30.847639846099995</v>
      </c>
      <c r="M34">
        <f>SmtRes!AA38</f>
        <v>165838.61</v>
      </c>
      <c r="N34">
        <f aca="true" t="shared" si="5" ref="N34:N40">I34*M34</f>
        <v>30.847639846099995</v>
      </c>
      <c r="O34">
        <f>SmtRes!X38</f>
        <v>-602459445</v>
      </c>
      <c r="P34">
        <v>958453475</v>
      </c>
      <c r="Q34">
        <v>958453475</v>
      </c>
    </row>
    <row r="35" spans="1:17" ht="12.75">
      <c r="A35">
        <f>Source!A41</f>
        <v>17</v>
      </c>
      <c r="C35">
        <v>3</v>
      </c>
      <c r="D35">
        <v>0</v>
      </c>
      <c r="E35">
        <f>SmtRes!AV37</f>
        <v>0</v>
      </c>
      <c r="F35" t="str">
        <f>SmtRes!I37</f>
        <v>21.1-25-305</v>
      </c>
      <c r="G35" t="str">
        <f>SmtRes!K37</f>
        <v>Резина техническая прессованная</v>
      </c>
      <c r="H35" t="str">
        <f>SmtRes!O37</f>
        <v>т</v>
      </c>
      <c r="I35">
        <f>SmtRes!Y37*Source!I41</f>
        <v>0.0016719999999999999</v>
      </c>
      <c r="J35">
        <f>SmtRes!AO37</f>
        <v>1</v>
      </c>
      <c r="K35">
        <f>SmtRes!AE37</f>
        <v>142669.85</v>
      </c>
      <c r="L35">
        <f t="shared" si="4"/>
        <v>238.5439892</v>
      </c>
      <c r="M35">
        <f>SmtRes!AA37</f>
        <v>142669.85</v>
      </c>
      <c r="N35">
        <f t="shared" si="5"/>
        <v>238.5439892</v>
      </c>
      <c r="O35">
        <f>SmtRes!X37</f>
        <v>218864245</v>
      </c>
      <c r="P35">
        <v>-1557787238</v>
      </c>
      <c r="Q35">
        <v>-1557787238</v>
      </c>
    </row>
    <row r="36" spans="1:17" ht="12.75">
      <c r="A36">
        <f>Source!A41</f>
        <v>17</v>
      </c>
      <c r="C36">
        <v>3</v>
      </c>
      <c r="D36">
        <v>0</v>
      </c>
      <c r="E36">
        <f>SmtRes!AV36</f>
        <v>0</v>
      </c>
      <c r="F36" t="str">
        <f>SmtRes!I36</f>
        <v>21.1-23-10</v>
      </c>
      <c r="G36" t="str">
        <f>SmtRes!K36</f>
        <v>Электроды, тип Э-42А, диаметр 4-6 мм</v>
      </c>
      <c r="H36" t="str">
        <f>SmtRes!O36</f>
        <v>т</v>
      </c>
      <c r="I36">
        <f>SmtRes!Y36*Source!I41</f>
        <v>9.405E-05</v>
      </c>
      <c r="J36">
        <f>SmtRes!AO36</f>
        <v>1</v>
      </c>
      <c r="K36">
        <f>SmtRes!AE36</f>
        <v>109898.69</v>
      </c>
      <c r="L36">
        <f t="shared" si="4"/>
        <v>10.335971794499999</v>
      </c>
      <c r="M36">
        <f>SmtRes!AA36</f>
        <v>109898.69</v>
      </c>
      <c r="N36">
        <f t="shared" si="5"/>
        <v>10.335971794499999</v>
      </c>
      <c r="O36">
        <f>SmtRes!X36</f>
        <v>-1544492133</v>
      </c>
      <c r="P36">
        <v>349305125</v>
      </c>
      <c r="Q36">
        <v>349305125</v>
      </c>
    </row>
    <row r="37" spans="1:17" ht="12.75">
      <c r="A37">
        <f>Source!A41</f>
        <v>17</v>
      </c>
      <c r="C37">
        <v>3</v>
      </c>
      <c r="D37">
        <v>0</v>
      </c>
      <c r="E37">
        <f>SmtRes!AV35</f>
        <v>0</v>
      </c>
      <c r="F37" t="str">
        <f>SmtRes!I35</f>
        <v>21.1-1-19</v>
      </c>
      <c r="G37" t="str">
        <f>SmtRes!K35</f>
        <v>Мастика герметизирующая нетвердеющая, строительная, изоляционная, марка МБР-75, битумно-резиновая</v>
      </c>
      <c r="H37" t="str">
        <f>SmtRes!O35</f>
        <v>т</v>
      </c>
      <c r="I37">
        <f>SmtRes!Y35*Source!I41</f>
        <v>0.0010470899999999999</v>
      </c>
      <c r="J37">
        <f>SmtRes!AO35</f>
        <v>1</v>
      </c>
      <c r="K37">
        <f>SmtRes!AE35</f>
        <v>18733.8</v>
      </c>
      <c r="L37">
        <f t="shared" si="4"/>
        <v>19.615974641999998</v>
      </c>
      <c r="M37">
        <f>SmtRes!AA35</f>
        <v>18733.8</v>
      </c>
      <c r="N37">
        <f t="shared" si="5"/>
        <v>19.615974641999998</v>
      </c>
      <c r="O37">
        <f>SmtRes!X35</f>
        <v>1577982966</v>
      </c>
      <c r="P37">
        <v>-1002298298</v>
      </c>
      <c r="Q37">
        <v>-1002298298</v>
      </c>
    </row>
    <row r="38" spans="1:17" ht="12.75">
      <c r="A38">
        <f>Source!A41</f>
        <v>17</v>
      </c>
      <c r="C38">
        <v>3</v>
      </c>
      <c r="D38">
        <v>0</v>
      </c>
      <c r="E38">
        <f>SmtRes!AV34</f>
        <v>0</v>
      </c>
      <c r="F38" t="str">
        <f>SmtRes!I34</f>
        <v>21.1-11-21</v>
      </c>
      <c r="G38" t="str">
        <f>SmtRes!K34</f>
        <v>Болты строительные черные с гайками и шайбами (10х100мм)</v>
      </c>
      <c r="H38" t="str">
        <f>SmtRes!O34</f>
        <v>т</v>
      </c>
      <c r="I38">
        <f>SmtRes!Y34*Source!I41</f>
        <v>0.0031349999999999998</v>
      </c>
      <c r="J38">
        <f>SmtRes!AO34</f>
        <v>1</v>
      </c>
      <c r="K38">
        <f>SmtRes!AE34</f>
        <v>85160.23</v>
      </c>
      <c r="L38">
        <f t="shared" si="4"/>
        <v>266.97732104999994</v>
      </c>
      <c r="M38">
        <f>SmtRes!AA34</f>
        <v>85160.23</v>
      </c>
      <c r="N38">
        <f t="shared" si="5"/>
        <v>266.97732104999994</v>
      </c>
      <c r="O38">
        <f>SmtRes!X34</f>
        <v>-441702737</v>
      </c>
      <c r="P38">
        <v>868950196</v>
      </c>
      <c r="Q38">
        <v>868950196</v>
      </c>
    </row>
    <row r="39" spans="1:17" ht="12.75">
      <c r="A39">
        <f>Source!A41</f>
        <v>17</v>
      </c>
      <c r="C39">
        <v>2</v>
      </c>
      <c r="D39">
        <v>0</v>
      </c>
      <c r="E39">
        <f>SmtRes!AV33</f>
        <v>0</v>
      </c>
      <c r="F39" t="str">
        <f>SmtRes!I33</f>
        <v>22.1-4-32</v>
      </c>
      <c r="G39" t="str">
        <f>SmtRes!K33</f>
        <v>Лебедки электрические, грузоподъемность до 2 т</v>
      </c>
      <c r="H39" t="str">
        <f>SmtRes!O33</f>
        <v>маш.-ч</v>
      </c>
      <c r="I39">
        <f>SmtRes!Y33*Source!I41</f>
        <v>0.08778</v>
      </c>
      <c r="J39">
        <f>SmtRes!AO33</f>
        <v>1</v>
      </c>
      <c r="K39">
        <f>SmtRes!AF33</f>
        <v>28.36</v>
      </c>
      <c r="L39">
        <f t="shared" si="4"/>
        <v>2.4894407999999997</v>
      </c>
      <c r="M39">
        <f>SmtRes!AB33</f>
        <v>28.36</v>
      </c>
      <c r="N39">
        <f t="shared" si="5"/>
        <v>2.4894407999999997</v>
      </c>
      <c r="O39">
        <f>SmtRes!X33</f>
        <v>1066648727</v>
      </c>
      <c r="P39">
        <v>1112045192</v>
      </c>
      <c r="Q39">
        <v>1112045192</v>
      </c>
    </row>
    <row r="40" spans="1:17" ht="12.75">
      <c r="A40">
        <f>Source!A41</f>
        <v>17</v>
      </c>
      <c r="C40">
        <v>2</v>
      </c>
      <c r="D40">
        <v>0</v>
      </c>
      <c r="E40">
        <f>SmtRes!AV32</f>
        <v>0</v>
      </c>
      <c r="F40" t="str">
        <f>SmtRes!I32</f>
        <v>22.1-13-14</v>
      </c>
      <c r="G40" t="str">
        <f>SmtRes!K32</f>
        <v>Установки для сварки ручной дуговой (постоянного тока)</v>
      </c>
      <c r="H40" t="str">
        <f>SmtRes!O32</f>
        <v>маш.-ч</v>
      </c>
      <c r="I40">
        <f>SmtRes!Y32*Source!I41</f>
        <v>0.40127999999999997</v>
      </c>
      <c r="J40">
        <f>SmtRes!AO32</f>
        <v>1</v>
      </c>
      <c r="K40">
        <f>SmtRes!AF32</f>
        <v>32.82</v>
      </c>
      <c r="L40">
        <f t="shared" si="4"/>
        <v>13.170009599999998</v>
      </c>
      <c r="M40">
        <f>SmtRes!AB32</f>
        <v>32.82</v>
      </c>
      <c r="N40">
        <f t="shared" si="5"/>
        <v>13.170009599999998</v>
      </c>
      <c r="O40">
        <f>SmtRes!X32</f>
        <v>144256025</v>
      </c>
      <c r="P40">
        <v>-1208362683</v>
      </c>
      <c r="Q40">
        <v>-1208362683</v>
      </c>
    </row>
    <row r="41" spans="1:17" ht="12.75">
      <c r="A41">
        <f>Source!A42</f>
        <v>18</v>
      </c>
      <c r="C41">
        <v>3</v>
      </c>
      <c r="D41">
        <f>Source!BI42</f>
        <v>4</v>
      </c>
      <c r="E41">
        <f>Source!FS42</f>
        <v>0</v>
      </c>
      <c r="F41" t="str">
        <f>Source!F42</f>
        <v>21.19-10-7</v>
      </c>
      <c r="G41" t="str">
        <f>Source!G42</f>
        <v>Дроссель-клапаны для регулирования расхода воздуха, в обечайке, с сектором управления, из оцинкованной стали, прямоугольные, периметр 700 мм</v>
      </c>
      <c r="H41" t="str">
        <f>Source!H42</f>
        <v>шт.</v>
      </c>
      <c r="I41">
        <f>Source!I42</f>
        <v>12</v>
      </c>
      <c r="J41">
        <v>1</v>
      </c>
      <c r="K41">
        <f>Source!AC42</f>
        <v>1136.98</v>
      </c>
      <c r="L41">
        <f>K41*I41</f>
        <v>13643.76</v>
      </c>
      <c r="M41">
        <f>Source!AC42*IF(Source!BC42&lt;&gt;0,Source!BC42,1)</f>
        <v>1136.98</v>
      </c>
      <c r="N41">
        <f>M41*I41</f>
        <v>13643.76</v>
      </c>
      <c r="O41">
        <f>Source!GF42</f>
        <v>547909547</v>
      </c>
      <c r="P41">
        <v>-254319410</v>
      </c>
      <c r="Q41">
        <v>-254319410</v>
      </c>
    </row>
    <row r="42" spans="1:17" ht="12.75">
      <c r="A42">
        <f>Source!A43</f>
        <v>18</v>
      </c>
      <c r="C42">
        <v>3</v>
      </c>
      <c r="D42">
        <f>Source!BI43</f>
        <v>4</v>
      </c>
      <c r="E42">
        <f>Source!FS43</f>
        <v>0</v>
      </c>
      <c r="F42" t="str">
        <f>Source!F43</f>
        <v>21.19-3-31</v>
      </c>
      <c r="G42" t="str">
        <f>Source!G43</f>
        <v>Воздуховоды прямоугольного сечения из черной стали, толщина стенки до 1,2 мм, периметр до 1000 мм</v>
      </c>
      <c r="H42" t="str">
        <f>Source!H43</f>
        <v>м2</v>
      </c>
      <c r="I42">
        <f>Source!I43</f>
        <v>20.9</v>
      </c>
      <c r="J42">
        <v>1</v>
      </c>
      <c r="K42">
        <f>Source!AC43</f>
        <v>810.68</v>
      </c>
      <c r="L42">
        <f>K42*I42</f>
        <v>16943.212</v>
      </c>
      <c r="M42">
        <f>Source!AC43*IF(Source!BC43&lt;&gt;0,Source!BC43,1)</f>
        <v>810.68</v>
      </c>
      <c r="N42">
        <f>M42*I42</f>
        <v>16943.212</v>
      </c>
      <c r="O42">
        <f>Source!GF43</f>
        <v>46053762</v>
      </c>
      <c r="P42">
        <v>1424380518</v>
      </c>
      <c r="Q42">
        <v>1424380518</v>
      </c>
    </row>
    <row r="43" spans="1:17" ht="12.75">
      <c r="A43">
        <f>Source!A44</f>
        <v>18</v>
      </c>
      <c r="C43">
        <v>3</v>
      </c>
      <c r="D43">
        <f>Source!BI44</f>
        <v>4</v>
      </c>
      <c r="E43">
        <f>Source!FS44</f>
        <v>0</v>
      </c>
      <c r="F43" t="str">
        <f>Source!F44</f>
        <v>цена поставщика Том1. п.16</v>
      </c>
      <c r="G43" t="str">
        <f>Source!G44</f>
        <v>Лючок для прочистки воздуховодов цена=374/1,18=316,95</v>
      </c>
      <c r="H43" t="str">
        <f>Source!H44</f>
        <v>ШТ</v>
      </c>
      <c r="I43">
        <f>Source!I44</f>
        <v>1</v>
      </c>
      <c r="J43">
        <v>1</v>
      </c>
      <c r="K43">
        <f>Source!AC44</f>
        <v>316.95</v>
      </c>
      <c r="L43">
        <f>K43*I43</f>
        <v>316.95</v>
      </c>
      <c r="M43">
        <f>ROUND(Source!FF44/(1+Source!FD44/100),2)</f>
        <v>316.95</v>
      </c>
      <c r="N43">
        <f>M43*I43</f>
        <v>316.95</v>
      </c>
      <c r="O43">
        <f>Source!GF44</f>
        <v>-2029574086</v>
      </c>
      <c r="P43">
        <v>-1529615798</v>
      </c>
      <c r="Q43">
        <v>-1529615798</v>
      </c>
    </row>
    <row r="44" spans="1:17" ht="12.75">
      <c r="A44">
        <f>Source!A45</f>
        <v>18</v>
      </c>
      <c r="C44">
        <v>3</v>
      </c>
      <c r="D44">
        <f>Source!BI45</f>
        <v>4</v>
      </c>
      <c r="E44">
        <f>Source!FS45</f>
        <v>0</v>
      </c>
      <c r="F44" t="str">
        <f>Source!F45</f>
        <v>21.19-11-74</v>
      </c>
      <c r="G44" t="str">
        <f>Source!G45</f>
        <v>Сетки металлические в рамках для ограждения приточных и вытяжных отверстий из оцинкованной стали, площадь сетки в свету до 0,5 м2</v>
      </c>
      <c r="H44" t="str">
        <f>Source!H45</f>
        <v>м2</v>
      </c>
      <c r="I44">
        <f>Source!I45</f>
        <v>0.5</v>
      </c>
      <c r="J44">
        <v>1</v>
      </c>
      <c r="K44">
        <f>Source!AC45</f>
        <v>377.87</v>
      </c>
      <c r="L44">
        <f>K44*I44</f>
        <v>188.935</v>
      </c>
      <c r="M44">
        <f>Source!AC45*IF(Source!BC45&lt;&gt;0,Source!BC45,1)</f>
        <v>377.87</v>
      </c>
      <c r="N44">
        <f>M44*I44</f>
        <v>188.935</v>
      </c>
      <c r="O44">
        <f>Source!GF45</f>
        <v>2049749360</v>
      </c>
      <c r="P44">
        <v>1431966543</v>
      </c>
      <c r="Q44">
        <v>1431966543</v>
      </c>
    </row>
    <row r="45" spans="1:17" ht="12.75">
      <c r="A45">
        <f>Source!A46</f>
        <v>18</v>
      </c>
      <c r="C45">
        <v>3</v>
      </c>
      <c r="D45">
        <f>Source!BI46</f>
        <v>4</v>
      </c>
      <c r="E45">
        <f>Source!FS46</f>
        <v>0</v>
      </c>
      <c r="F45" t="str">
        <f>Source!F46</f>
        <v>21.19-11-72</v>
      </c>
      <c r="G45" t="str">
        <f>Source!G46</f>
        <v>Сетки металлические в рамках для ограждения приточных и вытяжных отверстий из оцинкованной стали, площадь сетки в свету до 0,2 м2</v>
      </c>
      <c r="H45" t="str">
        <f>Source!H46</f>
        <v>м2</v>
      </c>
      <c r="I45">
        <f>Source!I46</f>
        <v>0.015</v>
      </c>
      <c r="J45">
        <v>1</v>
      </c>
      <c r="K45">
        <f>Source!AC46</f>
        <v>379.8</v>
      </c>
      <c r="L45">
        <f>K45*I45</f>
        <v>5.697</v>
      </c>
      <c r="M45">
        <f>Source!AC46*IF(Source!BC46&lt;&gt;0,Source!BC46,1)</f>
        <v>379.8</v>
      </c>
      <c r="N45">
        <f>M45*I45</f>
        <v>5.697</v>
      </c>
      <c r="O45">
        <f>Source!GF46</f>
        <v>-244736232</v>
      </c>
      <c r="P45">
        <v>-379589725</v>
      </c>
      <c r="Q45">
        <v>-379589725</v>
      </c>
    </row>
    <row r="46" spans="1:17" ht="12.75">
      <c r="A46">
        <f>Source!A47</f>
        <v>17</v>
      </c>
      <c r="C46">
        <v>3</v>
      </c>
      <c r="D46">
        <v>0</v>
      </c>
      <c r="E46">
        <f>SmtRes!AV51</f>
        <v>0</v>
      </c>
      <c r="F46" t="str">
        <f>SmtRes!I51</f>
        <v>21.1-25-400</v>
      </c>
      <c r="G46" t="str">
        <f>SmtRes!K51</f>
        <v>Шнур асбестовый общего назначения, марка ШАОН-1, диаметр 22-25 мм</v>
      </c>
      <c r="H46" t="str">
        <f>SmtRes!O51</f>
        <v>т</v>
      </c>
      <c r="I46">
        <f>SmtRes!Y51*Source!I47</f>
        <v>0.0005607</v>
      </c>
      <c r="J46">
        <f>SmtRes!AO51</f>
        <v>1</v>
      </c>
      <c r="K46">
        <f>SmtRes!AE51</f>
        <v>165838.61</v>
      </c>
      <c r="L46">
        <f aca="true" t="shared" si="6" ref="L46:L52">I46*K46</f>
        <v>92.985708627</v>
      </c>
      <c r="M46">
        <f>SmtRes!AA51</f>
        <v>165838.61</v>
      </c>
      <c r="N46">
        <f aca="true" t="shared" si="7" ref="N46:N52">I46*M46</f>
        <v>92.985708627</v>
      </c>
      <c r="O46">
        <f>SmtRes!X51</f>
        <v>-602459445</v>
      </c>
      <c r="P46">
        <v>958453475</v>
      </c>
      <c r="Q46">
        <v>958453475</v>
      </c>
    </row>
    <row r="47" spans="1:17" ht="12.75">
      <c r="A47">
        <f>Source!A47</f>
        <v>17</v>
      </c>
      <c r="C47">
        <v>3</v>
      </c>
      <c r="D47">
        <v>0</v>
      </c>
      <c r="E47">
        <f>SmtRes!AV50</f>
        <v>0</v>
      </c>
      <c r="F47" t="str">
        <f>SmtRes!I50</f>
        <v>21.1-25-305</v>
      </c>
      <c r="G47" t="str">
        <f>SmtRes!K50</f>
        <v>Резина техническая прессованная</v>
      </c>
      <c r="H47" t="str">
        <f>SmtRes!O50</f>
        <v>т</v>
      </c>
      <c r="I47">
        <f>SmtRes!Y50*Source!I47</f>
        <v>0.00504</v>
      </c>
      <c r="J47">
        <f>SmtRes!AO50</f>
        <v>1</v>
      </c>
      <c r="K47">
        <f>SmtRes!AE50</f>
        <v>142669.85</v>
      </c>
      <c r="L47">
        <f t="shared" si="6"/>
        <v>719.056044</v>
      </c>
      <c r="M47">
        <f>SmtRes!AA50</f>
        <v>142669.85</v>
      </c>
      <c r="N47">
        <f t="shared" si="7"/>
        <v>719.056044</v>
      </c>
      <c r="O47">
        <f>SmtRes!X50</f>
        <v>218864245</v>
      </c>
      <c r="P47">
        <v>-1557787238</v>
      </c>
      <c r="Q47">
        <v>-1557787238</v>
      </c>
    </row>
    <row r="48" spans="1:17" ht="12.75">
      <c r="A48">
        <f>Source!A47</f>
        <v>17</v>
      </c>
      <c r="C48">
        <v>3</v>
      </c>
      <c r="D48">
        <v>0</v>
      </c>
      <c r="E48">
        <f>SmtRes!AV49</f>
        <v>0</v>
      </c>
      <c r="F48" t="str">
        <f>SmtRes!I49</f>
        <v>21.1-23-10</v>
      </c>
      <c r="G48" t="str">
        <f>SmtRes!K49</f>
        <v>Электроды, тип Э-42А, диаметр 4-6 мм</v>
      </c>
      <c r="H48" t="str">
        <f>SmtRes!O49</f>
        <v>т</v>
      </c>
      <c r="I48">
        <f>SmtRes!Y49*Source!I47</f>
        <v>0.0002583</v>
      </c>
      <c r="J48">
        <f>SmtRes!AO49</f>
        <v>1</v>
      </c>
      <c r="K48">
        <f>SmtRes!AE49</f>
        <v>109898.69</v>
      </c>
      <c r="L48">
        <f t="shared" si="6"/>
        <v>28.386831627</v>
      </c>
      <c r="M48">
        <f>SmtRes!AA49</f>
        <v>109898.69</v>
      </c>
      <c r="N48">
        <f t="shared" si="7"/>
        <v>28.386831627</v>
      </c>
      <c r="O48">
        <f>SmtRes!X49</f>
        <v>-1544492133</v>
      </c>
      <c r="P48">
        <v>349305125</v>
      </c>
      <c r="Q48">
        <v>349305125</v>
      </c>
    </row>
    <row r="49" spans="1:17" ht="12.75">
      <c r="A49">
        <f>Source!A47</f>
        <v>17</v>
      </c>
      <c r="C49">
        <v>3</v>
      </c>
      <c r="D49">
        <v>0</v>
      </c>
      <c r="E49">
        <f>SmtRes!AV48</f>
        <v>0</v>
      </c>
      <c r="F49" t="str">
        <f>SmtRes!I48</f>
        <v>21.1-1-19</v>
      </c>
      <c r="G49" t="str">
        <f>SmtRes!K48</f>
        <v>Мастика герметизирующая нетвердеющая, строительная, изоляционная, марка МБР-75, битумно-резиновая</v>
      </c>
      <c r="H49" t="str">
        <f>SmtRes!O48</f>
        <v>т</v>
      </c>
      <c r="I49">
        <f>SmtRes!Y48*Source!I47</f>
        <v>0.0031563</v>
      </c>
      <c r="J49">
        <f>SmtRes!AO48</f>
        <v>1</v>
      </c>
      <c r="K49">
        <f>SmtRes!AE48</f>
        <v>18733.8</v>
      </c>
      <c r="L49">
        <f t="shared" si="6"/>
        <v>59.12949294</v>
      </c>
      <c r="M49">
        <f>SmtRes!AA48</f>
        <v>18733.8</v>
      </c>
      <c r="N49">
        <f t="shared" si="7"/>
        <v>59.12949294</v>
      </c>
      <c r="O49">
        <f>SmtRes!X48</f>
        <v>1577982966</v>
      </c>
      <c r="P49">
        <v>-1002298298</v>
      </c>
      <c r="Q49">
        <v>-1002298298</v>
      </c>
    </row>
    <row r="50" spans="1:17" ht="12.75">
      <c r="A50">
        <f>Source!A47</f>
        <v>17</v>
      </c>
      <c r="C50">
        <v>3</v>
      </c>
      <c r="D50">
        <v>0</v>
      </c>
      <c r="E50">
        <f>SmtRes!AV47</f>
        <v>0</v>
      </c>
      <c r="F50" t="str">
        <f>SmtRes!I47</f>
        <v>21.1-11-21</v>
      </c>
      <c r="G50" t="str">
        <f>SmtRes!K47</f>
        <v>Болты строительные черные с гайками и шайбами (10х100мм)</v>
      </c>
      <c r="H50" t="str">
        <f>SmtRes!O47</f>
        <v>т</v>
      </c>
      <c r="I50">
        <f>SmtRes!Y47*Source!I47</f>
        <v>0.00945</v>
      </c>
      <c r="J50">
        <f>SmtRes!AO47</f>
        <v>1</v>
      </c>
      <c r="K50">
        <f>SmtRes!AE47</f>
        <v>85160.23</v>
      </c>
      <c r="L50">
        <f t="shared" si="6"/>
        <v>804.7641735</v>
      </c>
      <c r="M50">
        <f>SmtRes!AA47</f>
        <v>85160.23</v>
      </c>
      <c r="N50">
        <f t="shared" si="7"/>
        <v>804.7641735</v>
      </c>
      <c r="O50">
        <f>SmtRes!X47</f>
        <v>-441702737</v>
      </c>
      <c r="P50">
        <v>868950196</v>
      </c>
      <c r="Q50">
        <v>868950196</v>
      </c>
    </row>
    <row r="51" spans="1:17" ht="12.75">
      <c r="A51">
        <f>Source!A47</f>
        <v>17</v>
      </c>
      <c r="C51">
        <v>2</v>
      </c>
      <c r="D51">
        <v>0</v>
      </c>
      <c r="E51">
        <f>SmtRes!AV46</f>
        <v>0</v>
      </c>
      <c r="F51" t="str">
        <f>SmtRes!I46</f>
        <v>22.1-4-32</v>
      </c>
      <c r="G51" t="str">
        <f>SmtRes!K46</f>
        <v>Лебедки электрические, грузоподъемность до 2 т</v>
      </c>
      <c r="H51" t="str">
        <f>SmtRes!O46</f>
        <v>маш.-ч</v>
      </c>
      <c r="I51">
        <f>SmtRes!Y46*Source!I47</f>
        <v>0.2646</v>
      </c>
      <c r="J51">
        <f>SmtRes!AO46</f>
        <v>1</v>
      </c>
      <c r="K51">
        <f>SmtRes!AF46</f>
        <v>28.36</v>
      </c>
      <c r="L51">
        <f t="shared" si="6"/>
        <v>7.504056</v>
      </c>
      <c r="M51">
        <f>SmtRes!AB46</f>
        <v>28.36</v>
      </c>
      <c r="N51">
        <f t="shared" si="7"/>
        <v>7.504056</v>
      </c>
      <c r="O51">
        <f>SmtRes!X46</f>
        <v>1066648727</v>
      </c>
      <c r="P51">
        <v>1112045192</v>
      </c>
      <c r="Q51">
        <v>1112045192</v>
      </c>
    </row>
    <row r="52" spans="1:17" ht="12.75">
      <c r="A52">
        <f>Source!A47</f>
        <v>17</v>
      </c>
      <c r="C52">
        <v>2</v>
      </c>
      <c r="D52">
        <v>0</v>
      </c>
      <c r="E52">
        <f>SmtRes!AV45</f>
        <v>0</v>
      </c>
      <c r="F52" t="str">
        <f>SmtRes!I45</f>
        <v>22.1-13-14</v>
      </c>
      <c r="G52" t="str">
        <f>SmtRes!K45</f>
        <v>Установки для сварки ручной дуговой (постоянного тока)</v>
      </c>
      <c r="H52" t="str">
        <f>SmtRes!O45</f>
        <v>маш.-ч</v>
      </c>
      <c r="I52">
        <f>SmtRes!Y45*Source!I47</f>
        <v>1.1025</v>
      </c>
      <c r="J52">
        <f>SmtRes!AO45</f>
        <v>1</v>
      </c>
      <c r="K52">
        <f>SmtRes!AF45</f>
        <v>32.82</v>
      </c>
      <c r="L52">
        <f t="shared" si="6"/>
        <v>36.18405</v>
      </c>
      <c r="M52">
        <f>SmtRes!AB45</f>
        <v>32.82</v>
      </c>
      <c r="N52">
        <f t="shared" si="7"/>
        <v>36.18405</v>
      </c>
      <c r="O52">
        <f>SmtRes!X45</f>
        <v>144256025</v>
      </c>
      <c r="P52">
        <v>-1208362683</v>
      </c>
      <c r="Q52">
        <v>-1208362683</v>
      </c>
    </row>
    <row r="53" spans="1:17" ht="12.75">
      <c r="A53">
        <f>Source!A48</f>
        <v>18</v>
      </c>
      <c r="C53">
        <v>3</v>
      </c>
      <c r="D53">
        <f>Source!BI48</f>
        <v>4</v>
      </c>
      <c r="E53">
        <f>Source!FS48</f>
        <v>0</v>
      </c>
      <c r="F53" t="str">
        <f>Source!F48</f>
        <v>21.19-10-8</v>
      </c>
      <c r="G53" t="str">
        <f>Source!G48</f>
        <v>Дроссель-клапаны для регулирования расхода воздуха, в обечайке, с сектором управления, из оцинкованной стали, прямоугольные, периметр 1000 мм</v>
      </c>
      <c r="H53" t="str">
        <f>Source!H48</f>
        <v>шт.</v>
      </c>
      <c r="I53">
        <f>Source!I48</f>
        <v>6</v>
      </c>
      <c r="J53">
        <v>1</v>
      </c>
      <c r="K53">
        <f>Source!AC48</f>
        <v>1422.48</v>
      </c>
      <c r="L53">
        <f>K53*I53</f>
        <v>8534.880000000001</v>
      </c>
      <c r="M53">
        <f>Source!AC48*IF(Source!BC48&lt;&gt;0,Source!BC48,1)</f>
        <v>1422.48</v>
      </c>
      <c r="N53">
        <f>M53*I53</f>
        <v>8534.880000000001</v>
      </c>
      <c r="O53">
        <f>Source!GF48</f>
        <v>1841461382</v>
      </c>
      <c r="P53">
        <v>1481503423</v>
      </c>
      <c r="Q53">
        <v>1481503423</v>
      </c>
    </row>
    <row r="54" spans="1:17" ht="12.75">
      <c r="A54">
        <f>Source!A49</f>
        <v>18</v>
      </c>
      <c r="C54">
        <v>3</v>
      </c>
      <c r="D54">
        <f>Source!BI49</f>
        <v>4</v>
      </c>
      <c r="E54">
        <f>Source!FS49</f>
        <v>0</v>
      </c>
      <c r="F54" t="str">
        <f>Source!F49</f>
        <v>21.19-3-19</v>
      </c>
      <c r="G54" t="str">
        <f>Source!G49</f>
        <v>Воздуховоды прямоугольного сечения из оцинкованной стали, толщина стенки до 1,2 мм, периметр до 4000 мм</v>
      </c>
      <c r="H54" t="str">
        <f>Source!H49</f>
        <v>м2</v>
      </c>
      <c r="I54">
        <f>Source!I49</f>
        <v>63</v>
      </c>
      <c r="J54">
        <v>1</v>
      </c>
      <c r="K54">
        <f>Source!AC49</f>
        <v>788.47</v>
      </c>
      <c r="L54">
        <f>K54*I54</f>
        <v>49673.61</v>
      </c>
      <c r="M54">
        <f>Source!AC49*IF(Source!BC49&lt;&gt;0,Source!BC49,1)</f>
        <v>788.47</v>
      </c>
      <c r="N54">
        <f>M54*I54</f>
        <v>49673.61</v>
      </c>
      <c r="O54">
        <f>Source!GF49</f>
        <v>1654362007</v>
      </c>
      <c r="P54">
        <v>1579142516</v>
      </c>
      <c r="Q54">
        <v>1579142516</v>
      </c>
    </row>
    <row r="55" spans="1:17" ht="12.75">
      <c r="A55">
        <f>Source!A50</f>
        <v>18</v>
      </c>
      <c r="C55">
        <v>3</v>
      </c>
      <c r="D55">
        <f>Source!BI50</f>
        <v>4</v>
      </c>
      <c r="E55">
        <f>Source!FS50</f>
        <v>0</v>
      </c>
      <c r="F55" t="str">
        <f>Source!F50</f>
        <v>цена поставщика Том1. п.16</v>
      </c>
      <c r="G55" t="str">
        <f>Source!G50</f>
        <v>Лючок для прочистки воздуховодов цена=374/1,18=316,95</v>
      </c>
      <c r="H55" t="str">
        <f>Source!H50</f>
        <v>ШТ</v>
      </c>
      <c r="I55">
        <f>Source!I50</f>
        <v>2</v>
      </c>
      <c r="J55">
        <v>1</v>
      </c>
      <c r="K55">
        <f>Source!AC50</f>
        <v>316.95</v>
      </c>
      <c r="L55">
        <f>K55*I55</f>
        <v>633.9</v>
      </c>
      <c r="M55">
        <f>ROUND(Source!FF50/(1+Source!FD50/100),2)</f>
        <v>316.95</v>
      </c>
      <c r="N55">
        <f>M55*I55</f>
        <v>633.9</v>
      </c>
      <c r="O55">
        <f>Source!GF50</f>
        <v>-2029574086</v>
      </c>
      <c r="P55">
        <v>-1529615798</v>
      </c>
      <c r="Q55">
        <v>-1529615798</v>
      </c>
    </row>
    <row r="56" spans="1:17" ht="12.75">
      <c r="A56">
        <f>Source!A51</f>
        <v>17</v>
      </c>
      <c r="C56">
        <v>3</v>
      </c>
      <c r="D56">
        <v>0</v>
      </c>
      <c r="E56">
        <f>SmtRes!AV62</f>
        <v>0</v>
      </c>
      <c r="F56" t="str">
        <f>SmtRes!I62</f>
        <v>21.1-25-400</v>
      </c>
      <c r="G56" t="str">
        <f>SmtRes!K62</f>
        <v>Шнур асбестовый общего назначения, марка ШАОН-1, диаметр 22-25 мм</v>
      </c>
      <c r="H56" t="str">
        <f>SmtRes!O62</f>
        <v>т</v>
      </c>
      <c r="I56">
        <f>SmtRes!Y62*Source!I51</f>
        <v>0.0001914</v>
      </c>
      <c r="J56">
        <f>SmtRes!AO62</f>
        <v>1</v>
      </c>
      <c r="K56">
        <f>SmtRes!AE62</f>
        <v>165838.61</v>
      </c>
      <c r="L56">
        <f aca="true" t="shared" si="8" ref="L56:L62">I56*K56</f>
        <v>31.741509953999994</v>
      </c>
      <c r="M56">
        <f>SmtRes!AA62</f>
        <v>165838.61</v>
      </c>
      <c r="N56">
        <f aca="true" t="shared" si="9" ref="N56:N62">I56*M56</f>
        <v>31.741509953999994</v>
      </c>
      <c r="O56">
        <f>SmtRes!X62</f>
        <v>-602459445</v>
      </c>
      <c r="P56">
        <v>958453475</v>
      </c>
      <c r="Q56">
        <v>958453475</v>
      </c>
    </row>
    <row r="57" spans="1:17" ht="12.75">
      <c r="A57">
        <f>Source!A51</f>
        <v>17</v>
      </c>
      <c r="C57">
        <v>3</v>
      </c>
      <c r="D57">
        <v>0</v>
      </c>
      <c r="E57">
        <f>SmtRes!AV61</f>
        <v>0</v>
      </c>
      <c r="F57" t="str">
        <f>SmtRes!I61</f>
        <v>21.1-25-305</v>
      </c>
      <c r="G57" t="str">
        <f>SmtRes!K61</f>
        <v>Резина техническая прессованная</v>
      </c>
      <c r="H57" t="str">
        <f>SmtRes!O61</f>
        <v>т</v>
      </c>
      <c r="I57">
        <f>SmtRes!Y61*Source!I51</f>
        <v>0.00172434</v>
      </c>
      <c r="J57">
        <f>SmtRes!AO61</f>
        <v>1</v>
      </c>
      <c r="K57">
        <f>SmtRes!AE61</f>
        <v>142669.85</v>
      </c>
      <c r="L57">
        <f t="shared" si="8"/>
        <v>246.011329149</v>
      </c>
      <c r="M57">
        <f>SmtRes!AA61</f>
        <v>142669.85</v>
      </c>
      <c r="N57">
        <f t="shared" si="9"/>
        <v>246.011329149</v>
      </c>
      <c r="O57">
        <f>SmtRes!X61</f>
        <v>218864245</v>
      </c>
      <c r="P57">
        <v>-1557787238</v>
      </c>
      <c r="Q57">
        <v>-1557787238</v>
      </c>
    </row>
    <row r="58" spans="1:17" ht="12.75">
      <c r="A58">
        <f>Source!A51</f>
        <v>17</v>
      </c>
      <c r="C58">
        <v>3</v>
      </c>
      <c r="D58">
        <v>0</v>
      </c>
      <c r="E58">
        <f>SmtRes!AV60</f>
        <v>0</v>
      </c>
      <c r="F58" t="str">
        <f>SmtRes!I60</f>
        <v>21.1-23-10</v>
      </c>
      <c r="G58" t="str">
        <f>SmtRes!K60</f>
        <v>Электроды, тип Э-42А, диаметр 4-6 мм</v>
      </c>
      <c r="H58" t="str">
        <f>SmtRes!O60</f>
        <v>т</v>
      </c>
      <c r="I58">
        <f>SmtRes!Y60*Source!I51</f>
        <v>5.7419999999999996E-05</v>
      </c>
      <c r="J58">
        <f>SmtRes!AO60</f>
        <v>1</v>
      </c>
      <c r="K58">
        <f>SmtRes!AE60</f>
        <v>109898.69</v>
      </c>
      <c r="L58">
        <f t="shared" si="8"/>
        <v>6.310382779799999</v>
      </c>
      <c r="M58">
        <f>SmtRes!AA60</f>
        <v>109898.69</v>
      </c>
      <c r="N58">
        <f t="shared" si="9"/>
        <v>6.310382779799999</v>
      </c>
      <c r="O58">
        <f>SmtRes!X60</f>
        <v>-1544492133</v>
      </c>
      <c r="P58">
        <v>349305125</v>
      </c>
      <c r="Q58">
        <v>349305125</v>
      </c>
    </row>
    <row r="59" spans="1:17" ht="12.75">
      <c r="A59">
        <f>Source!A51</f>
        <v>17</v>
      </c>
      <c r="C59">
        <v>3</v>
      </c>
      <c r="D59">
        <v>0</v>
      </c>
      <c r="E59">
        <f>SmtRes!AV59</f>
        <v>0</v>
      </c>
      <c r="F59" t="str">
        <f>SmtRes!I59</f>
        <v>21.1-1-19</v>
      </c>
      <c r="G59" t="str">
        <f>SmtRes!K59</f>
        <v>Мастика герметизирующая нетвердеющая, строительная, изоляционная, марка МБР-75, битумно-резиновая</v>
      </c>
      <c r="H59" t="str">
        <f>SmtRes!O59</f>
        <v>т</v>
      </c>
      <c r="I59">
        <f>SmtRes!Y59*Source!I51</f>
        <v>0.00046806</v>
      </c>
      <c r="J59">
        <f>SmtRes!AO59</f>
        <v>1</v>
      </c>
      <c r="K59">
        <f>SmtRes!AE59</f>
        <v>18733.8</v>
      </c>
      <c r="L59">
        <f t="shared" si="8"/>
        <v>8.768542428</v>
      </c>
      <c r="M59">
        <f>SmtRes!AA59</f>
        <v>18733.8</v>
      </c>
      <c r="N59">
        <f t="shared" si="9"/>
        <v>8.768542428</v>
      </c>
      <c r="O59">
        <f>SmtRes!X59</f>
        <v>1577982966</v>
      </c>
      <c r="P59">
        <v>-1002298298</v>
      </c>
      <c r="Q59">
        <v>-1002298298</v>
      </c>
    </row>
    <row r="60" spans="1:17" ht="12.75">
      <c r="A60">
        <f>Source!A51</f>
        <v>17</v>
      </c>
      <c r="C60">
        <v>3</v>
      </c>
      <c r="D60">
        <v>0</v>
      </c>
      <c r="E60">
        <f>SmtRes!AV58</f>
        <v>0</v>
      </c>
      <c r="F60" t="str">
        <f>SmtRes!I58</f>
        <v>21.1-11-21</v>
      </c>
      <c r="G60" t="str">
        <f>SmtRes!K58</f>
        <v>Болты строительные черные с гайками и шайбами (10х100мм)</v>
      </c>
      <c r="H60" t="str">
        <f>SmtRes!O58</f>
        <v>т</v>
      </c>
      <c r="I60">
        <f>SmtRes!Y58*Source!I51</f>
        <v>0.001392</v>
      </c>
      <c r="J60">
        <f>SmtRes!AO58</f>
        <v>1</v>
      </c>
      <c r="K60">
        <f>SmtRes!AE58</f>
        <v>85160.23</v>
      </c>
      <c r="L60">
        <f t="shared" si="8"/>
        <v>118.54304015999999</v>
      </c>
      <c r="M60">
        <f>SmtRes!AA58</f>
        <v>85160.23</v>
      </c>
      <c r="N60">
        <f t="shared" si="9"/>
        <v>118.54304015999999</v>
      </c>
      <c r="O60">
        <f>SmtRes!X58</f>
        <v>-441702737</v>
      </c>
      <c r="P60">
        <v>868950196</v>
      </c>
      <c r="Q60">
        <v>868950196</v>
      </c>
    </row>
    <row r="61" spans="1:17" ht="12.75">
      <c r="A61">
        <f>Source!A51</f>
        <v>17</v>
      </c>
      <c r="C61">
        <v>2</v>
      </c>
      <c r="D61">
        <v>0</v>
      </c>
      <c r="E61">
        <f>SmtRes!AV57</f>
        <v>0</v>
      </c>
      <c r="F61" t="str">
        <f>SmtRes!I57</f>
        <v>22.1-4-32</v>
      </c>
      <c r="G61" t="str">
        <f>SmtRes!K57</f>
        <v>Лебедки электрические, грузоподъемность до 2 т</v>
      </c>
      <c r="H61" t="str">
        <f>SmtRes!O57</f>
        <v>маш.-ч</v>
      </c>
      <c r="I61">
        <f>SmtRes!Y57*Source!I51</f>
        <v>0.036539999999999996</v>
      </c>
      <c r="J61">
        <f>SmtRes!AO57</f>
        <v>1</v>
      </c>
      <c r="K61">
        <f>SmtRes!AF57</f>
        <v>28.36</v>
      </c>
      <c r="L61">
        <f t="shared" si="8"/>
        <v>1.0362744</v>
      </c>
      <c r="M61">
        <f>SmtRes!AB57</f>
        <v>28.36</v>
      </c>
      <c r="N61">
        <f t="shared" si="9"/>
        <v>1.0362744</v>
      </c>
      <c r="O61">
        <f>SmtRes!X57</f>
        <v>1066648727</v>
      </c>
      <c r="P61">
        <v>1112045192</v>
      </c>
      <c r="Q61">
        <v>1112045192</v>
      </c>
    </row>
    <row r="62" spans="1:17" ht="12.75">
      <c r="A62">
        <f>Source!A51</f>
        <v>17</v>
      </c>
      <c r="C62">
        <v>2</v>
      </c>
      <c r="D62">
        <v>0</v>
      </c>
      <c r="E62">
        <f>SmtRes!AV56</f>
        <v>0</v>
      </c>
      <c r="F62" t="str">
        <f>SmtRes!I56</f>
        <v>22.1-13-14</v>
      </c>
      <c r="G62" t="str">
        <f>SmtRes!K56</f>
        <v>Установки для сварки ручной дуговой (постоянного тока)</v>
      </c>
      <c r="H62" t="str">
        <f>SmtRes!O56</f>
        <v>маш.-ч</v>
      </c>
      <c r="I62">
        <f>SmtRes!Y56*Source!I51</f>
        <v>0.24533999999999997</v>
      </c>
      <c r="J62">
        <f>SmtRes!AO56</f>
        <v>1</v>
      </c>
      <c r="K62">
        <f>SmtRes!AF56</f>
        <v>32.82</v>
      </c>
      <c r="L62">
        <f t="shared" si="8"/>
        <v>8.0520588</v>
      </c>
      <c r="M62">
        <f>SmtRes!AB56</f>
        <v>32.82</v>
      </c>
      <c r="N62">
        <f t="shared" si="9"/>
        <v>8.0520588</v>
      </c>
      <c r="O62">
        <f>SmtRes!X56</f>
        <v>144256025</v>
      </c>
      <c r="P62">
        <v>-1208362683</v>
      </c>
      <c r="Q62">
        <v>-1208362683</v>
      </c>
    </row>
    <row r="63" spans="1:17" ht="12.75">
      <c r="A63">
        <f>Source!A52</f>
        <v>18</v>
      </c>
      <c r="C63">
        <v>3</v>
      </c>
      <c r="D63">
        <f>Source!BI52</f>
        <v>4</v>
      </c>
      <c r="E63">
        <f>Source!FS52</f>
        <v>0</v>
      </c>
      <c r="F63" t="str">
        <f>Source!F52</f>
        <v>21.19-10-11</v>
      </c>
      <c r="G63" t="str">
        <f>Source!G52</f>
        <v>Дроссель-клапаны для регулирования расхода воздуха, в обечайке, с сектором управления, из оцинкованной стали, прямоугольные, периметр 2000 мм</v>
      </c>
      <c r="H63" t="str">
        <f>Source!H52</f>
        <v>шт.</v>
      </c>
      <c r="I63">
        <f>Source!I52</f>
        <v>2</v>
      </c>
      <c r="J63">
        <v>1</v>
      </c>
      <c r="K63">
        <f>Source!AC52</f>
        <v>3423.7</v>
      </c>
      <c r="L63">
        <f>K63*I63</f>
        <v>6847.4</v>
      </c>
      <c r="M63">
        <f>Source!AC52*IF(Source!BC52&lt;&gt;0,Source!BC52,1)</f>
        <v>3423.7</v>
      </c>
      <c r="N63">
        <f>M63*I63</f>
        <v>6847.4</v>
      </c>
      <c r="O63">
        <f>Source!GF52</f>
        <v>1556107571</v>
      </c>
      <c r="P63">
        <v>-663553972</v>
      </c>
      <c r="Q63">
        <v>-663553972</v>
      </c>
    </row>
    <row r="64" spans="1:17" ht="12.75">
      <c r="A64">
        <f>Source!A53</f>
        <v>18</v>
      </c>
      <c r="C64">
        <v>3</v>
      </c>
      <c r="D64">
        <f>Source!BI53</f>
        <v>4</v>
      </c>
      <c r="E64">
        <f>Source!FS53</f>
        <v>0</v>
      </c>
      <c r="F64" t="str">
        <f>Source!F53</f>
        <v>21.19-3-19</v>
      </c>
      <c r="G64" t="str">
        <f>Source!G53</f>
        <v>Воздуховоды прямоугольного сечения из оцинкованной стали, толщина стенки до 1,2 мм, периметр до 4000 мм</v>
      </c>
      <c r="H64" t="str">
        <f>Source!H53</f>
        <v>м2</v>
      </c>
      <c r="I64">
        <f>Source!I53</f>
        <v>17.4</v>
      </c>
      <c r="J64">
        <v>1</v>
      </c>
      <c r="K64">
        <f>Source!AC53</f>
        <v>788.47</v>
      </c>
      <c r="L64">
        <f>K64*I64</f>
        <v>13719.377999999999</v>
      </c>
      <c r="M64">
        <f>Source!AC53*IF(Source!BC53&lt;&gt;0,Source!BC53,1)</f>
        <v>788.47</v>
      </c>
      <c r="N64">
        <f>M64*I64</f>
        <v>13719.377999999999</v>
      </c>
      <c r="O64">
        <f>Source!GF53</f>
        <v>1654362007</v>
      </c>
      <c r="P64">
        <v>1579142516</v>
      </c>
      <c r="Q64">
        <v>1579142516</v>
      </c>
    </row>
    <row r="65" spans="1:17" ht="12.75">
      <c r="A65">
        <f>Source!A54</f>
        <v>18</v>
      </c>
      <c r="C65">
        <v>3</v>
      </c>
      <c r="D65">
        <f>Source!BI54</f>
        <v>4</v>
      </c>
      <c r="E65">
        <f>Source!FS54</f>
        <v>0</v>
      </c>
      <c r="F65" t="str">
        <f>Source!F54</f>
        <v>цена поставщика Том1. п.16</v>
      </c>
      <c r="G65" t="str">
        <f>Source!G54</f>
        <v>Лючок для прочистки воздуховодов цена=374/1,18=316,95</v>
      </c>
      <c r="H65" t="str">
        <f>Source!H54</f>
        <v>ШТ</v>
      </c>
      <c r="I65">
        <f>Source!I54</f>
        <v>1</v>
      </c>
      <c r="J65">
        <v>1</v>
      </c>
      <c r="K65">
        <f>Source!AC54</f>
        <v>316.95</v>
      </c>
      <c r="L65">
        <f>K65*I65</f>
        <v>316.95</v>
      </c>
      <c r="M65">
        <f>ROUND(Source!FF54/(1+Source!FD54/100),2)</f>
        <v>316.95</v>
      </c>
      <c r="N65">
        <f>M65*I65</f>
        <v>316.95</v>
      </c>
      <c r="O65">
        <f>Source!GF54</f>
        <v>-2029574086</v>
      </c>
      <c r="P65">
        <v>-1529615798</v>
      </c>
      <c r="Q65">
        <v>-1529615798</v>
      </c>
    </row>
    <row r="66" spans="1:17" ht="12.75">
      <c r="A66">
        <f>Source!A55</f>
        <v>17</v>
      </c>
      <c r="C66">
        <v>3</v>
      </c>
      <c r="D66">
        <v>0</v>
      </c>
      <c r="E66">
        <f>SmtRes!AV73</f>
        <v>0</v>
      </c>
      <c r="F66" t="str">
        <f>SmtRes!I73</f>
        <v>21.1-25-400</v>
      </c>
      <c r="G66" t="str">
        <f>SmtRes!K73</f>
        <v>Шнур асбестовый общего назначения, марка ШАОН-1, диаметр 22-25 мм</v>
      </c>
      <c r="H66" t="str">
        <f>SmtRes!O73</f>
        <v>т</v>
      </c>
      <c r="I66">
        <f>SmtRes!Y73*Source!I55</f>
        <v>0.000528</v>
      </c>
      <c r="J66">
        <f>SmtRes!AO73</f>
        <v>1</v>
      </c>
      <c r="K66">
        <f>SmtRes!AE73</f>
        <v>165838.61</v>
      </c>
      <c r="L66">
        <f aca="true" t="shared" si="10" ref="L66:L72">I66*K66</f>
        <v>87.56278608</v>
      </c>
      <c r="M66">
        <f>SmtRes!AA73</f>
        <v>165838.61</v>
      </c>
      <c r="N66">
        <f aca="true" t="shared" si="11" ref="N66:N72">I66*M66</f>
        <v>87.56278608</v>
      </c>
      <c r="O66">
        <f>SmtRes!X73</f>
        <v>-602459445</v>
      </c>
      <c r="P66">
        <v>958453475</v>
      </c>
      <c r="Q66">
        <v>958453475</v>
      </c>
    </row>
    <row r="67" spans="1:17" ht="12.75">
      <c r="A67">
        <f>Source!A55</f>
        <v>17</v>
      </c>
      <c r="C67">
        <v>3</v>
      </c>
      <c r="D67">
        <v>0</v>
      </c>
      <c r="E67">
        <f>SmtRes!AV72</f>
        <v>0</v>
      </c>
      <c r="F67" t="str">
        <f>SmtRes!I72</f>
        <v>21.1-25-305</v>
      </c>
      <c r="G67" t="str">
        <f>SmtRes!K72</f>
        <v>Резина техническая прессованная</v>
      </c>
      <c r="H67" t="str">
        <f>SmtRes!O72</f>
        <v>т</v>
      </c>
      <c r="I67">
        <f>SmtRes!Y72*Source!I55</f>
        <v>0.0047568</v>
      </c>
      <c r="J67">
        <f>SmtRes!AO72</f>
        <v>1</v>
      </c>
      <c r="K67">
        <f>SmtRes!AE72</f>
        <v>142669.85</v>
      </c>
      <c r="L67">
        <f t="shared" si="10"/>
        <v>678.6519424800001</v>
      </c>
      <c r="M67">
        <f>SmtRes!AA72</f>
        <v>142669.85</v>
      </c>
      <c r="N67">
        <f t="shared" si="11"/>
        <v>678.6519424800001</v>
      </c>
      <c r="O67">
        <f>SmtRes!X72</f>
        <v>218864245</v>
      </c>
      <c r="P67">
        <v>-1557787238</v>
      </c>
      <c r="Q67">
        <v>-1557787238</v>
      </c>
    </row>
    <row r="68" spans="1:17" ht="12.75">
      <c r="A68">
        <f>Source!A55</f>
        <v>17</v>
      </c>
      <c r="C68">
        <v>3</v>
      </c>
      <c r="D68">
        <v>0</v>
      </c>
      <c r="E68">
        <f>SmtRes!AV71</f>
        <v>0</v>
      </c>
      <c r="F68" t="str">
        <f>SmtRes!I71</f>
        <v>21.1-23-10</v>
      </c>
      <c r="G68" t="str">
        <f>SmtRes!K71</f>
        <v>Электроды, тип Э-42А, диаметр 4-6 мм</v>
      </c>
      <c r="H68" t="str">
        <f>SmtRes!O71</f>
        <v>т</v>
      </c>
      <c r="I68">
        <f>SmtRes!Y71*Source!I55</f>
        <v>0.0001584</v>
      </c>
      <c r="J68">
        <f>SmtRes!AO71</f>
        <v>1</v>
      </c>
      <c r="K68">
        <f>SmtRes!AE71</f>
        <v>109898.69</v>
      </c>
      <c r="L68">
        <f t="shared" si="10"/>
        <v>17.407952496</v>
      </c>
      <c r="M68">
        <f>SmtRes!AA71</f>
        <v>109898.69</v>
      </c>
      <c r="N68">
        <f t="shared" si="11"/>
        <v>17.407952496</v>
      </c>
      <c r="O68">
        <f>SmtRes!X71</f>
        <v>-1544492133</v>
      </c>
      <c r="P68">
        <v>349305125</v>
      </c>
      <c r="Q68">
        <v>349305125</v>
      </c>
    </row>
    <row r="69" spans="1:17" ht="12.75">
      <c r="A69">
        <f>Source!A55</f>
        <v>17</v>
      </c>
      <c r="C69">
        <v>3</v>
      </c>
      <c r="D69">
        <v>0</v>
      </c>
      <c r="E69">
        <f>SmtRes!AV70</f>
        <v>0</v>
      </c>
      <c r="F69" t="str">
        <f>SmtRes!I70</f>
        <v>21.1-1-19</v>
      </c>
      <c r="G69" t="str">
        <f>SmtRes!K70</f>
        <v>Мастика герметизирующая нетвердеющая, строительная, изоляционная, марка МБР-75, битумно-резиновая</v>
      </c>
      <c r="H69" t="str">
        <f>SmtRes!O70</f>
        <v>т</v>
      </c>
      <c r="I69">
        <f>SmtRes!Y70*Source!I55</f>
        <v>0.0012912</v>
      </c>
      <c r="J69">
        <f>SmtRes!AO70</f>
        <v>1</v>
      </c>
      <c r="K69">
        <f>SmtRes!AE70</f>
        <v>18733.8</v>
      </c>
      <c r="L69">
        <f t="shared" si="10"/>
        <v>24.18908256</v>
      </c>
      <c r="M69">
        <f>SmtRes!AA70</f>
        <v>18733.8</v>
      </c>
      <c r="N69">
        <f t="shared" si="11"/>
        <v>24.18908256</v>
      </c>
      <c r="O69">
        <f>SmtRes!X70</f>
        <v>1577982966</v>
      </c>
      <c r="P69">
        <v>-1002298298</v>
      </c>
      <c r="Q69">
        <v>-1002298298</v>
      </c>
    </row>
    <row r="70" spans="1:17" ht="12.75">
      <c r="A70">
        <f>Source!A55</f>
        <v>17</v>
      </c>
      <c r="C70">
        <v>3</v>
      </c>
      <c r="D70">
        <v>0</v>
      </c>
      <c r="E70">
        <f>SmtRes!AV69</f>
        <v>0</v>
      </c>
      <c r="F70" t="str">
        <f>SmtRes!I69</f>
        <v>21.1-11-21</v>
      </c>
      <c r="G70" t="str">
        <f>SmtRes!K69</f>
        <v>Болты строительные черные с гайками и шайбами (10х100мм)</v>
      </c>
      <c r="H70" t="str">
        <f>SmtRes!O69</f>
        <v>т</v>
      </c>
      <c r="I70">
        <f>SmtRes!Y69*Source!I55</f>
        <v>0.00384</v>
      </c>
      <c r="J70">
        <f>SmtRes!AO69</f>
        <v>1</v>
      </c>
      <c r="K70">
        <f>SmtRes!AE69</f>
        <v>85160.23</v>
      </c>
      <c r="L70">
        <f t="shared" si="10"/>
        <v>327.0152832</v>
      </c>
      <c r="M70">
        <f>SmtRes!AA69</f>
        <v>85160.23</v>
      </c>
      <c r="N70">
        <f t="shared" si="11"/>
        <v>327.0152832</v>
      </c>
      <c r="O70">
        <f>SmtRes!X69</f>
        <v>-441702737</v>
      </c>
      <c r="P70">
        <v>868950196</v>
      </c>
      <c r="Q70">
        <v>868950196</v>
      </c>
    </row>
    <row r="71" spans="1:17" ht="12.75">
      <c r="A71">
        <f>Source!A55</f>
        <v>17</v>
      </c>
      <c r="C71">
        <v>2</v>
      </c>
      <c r="D71">
        <v>0</v>
      </c>
      <c r="E71">
        <f>SmtRes!AV68</f>
        <v>0</v>
      </c>
      <c r="F71" t="str">
        <f>SmtRes!I68</f>
        <v>22.1-4-32</v>
      </c>
      <c r="G71" t="str">
        <f>SmtRes!K68</f>
        <v>Лебедки электрические, грузоподъемность до 2 т</v>
      </c>
      <c r="H71" t="str">
        <f>SmtRes!O68</f>
        <v>маш.-ч</v>
      </c>
      <c r="I71">
        <f>SmtRes!Y68*Source!I55</f>
        <v>0.10079999999999999</v>
      </c>
      <c r="J71">
        <f>SmtRes!AO68</f>
        <v>1</v>
      </c>
      <c r="K71">
        <f>SmtRes!AF68</f>
        <v>28.36</v>
      </c>
      <c r="L71">
        <f t="shared" si="10"/>
        <v>2.8586879999999995</v>
      </c>
      <c r="M71">
        <f>SmtRes!AB68</f>
        <v>28.36</v>
      </c>
      <c r="N71">
        <f t="shared" si="11"/>
        <v>2.8586879999999995</v>
      </c>
      <c r="O71">
        <f>SmtRes!X68</f>
        <v>1066648727</v>
      </c>
      <c r="P71">
        <v>1112045192</v>
      </c>
      <c r="Q71">
        <v>1112045192</v>
      </c>
    </row>
    <row r="72" spans="1:17" ht="12.75">
      <c r="A72">
        <f>Source!A55</f>
        <v>17</v>
      </c>
      <c r="C72">
        <v>2</v>
      </c>
      <c r="D72">
        <v>0</v>
      </c>
      <c r="E72">
        <f>SmtRes!AV67</f>
        <v>0</v>
      </c>
      <c r="F72" t="str">
        <f>SmtRes!I67</f>
        <v>22.1-13-14</v>
      </c>
      <c r="G72" t="str">
        <f>SmtRes!K67</f>
        <v>Установки для сварки ручной дуговой (постоянного тока)</v>
      </c>
      <c r="H72" t="str">
        <f>SmtRes!O67</f>
        <v>маш.-ч</v>
      </c>
      <c r="I72">
        <f>SmtRes!Y67*Source!I55</f>
        <v>0.6768</v>
      </c>
      <c r="J72">
        <f>SmtRes!AO67</f>
        <v>1</v>
      </c>
      <c r="K72">
        <f>SmtRes!AF67</f>
        <v>32.82</v>
      </c>
      <c r="L72">
        <f t="shared" si="10"/>
        <v>22.212576</v>
      </c>
      <c r="M72">
        <f>SmtRes!AB67</f>
        <v>32.82</v>
      </c>
      <c r="N72">
        <f t="shared" si="11"/>
        <v>22.212576</v>
      </c>
      <c r="O72">
        <f>SmtRes!X67</f>
        <v>144256025</v>
      </c>
      <c r="P72">
        <v>-1208362683</v>
      </c>
      <c r="Q72">
        <v>-1208362683</v>
      </c>
    </row>
    <row r="73" spans="1:17" ht="12.75">
      <c r="A73">
        <f>Source!A56</f>
        <v>18</v>
      </c>
      <c r="C73">
        <v>3</v>
      </c>
      <c r="D73">
        <f>Source!BI56</f>
        <v>4</v>
      </c>
      <c r="E73">
        <f>Source!FS56</f>
        <v>0</v>
      </c>
      <c r="F73" t="str">
        <f>Source!F56</f>
        <v>21.19-10-11</v>
      </c>
      <c r="G73" t="str">
        <f>Source!G56</f>
        <v>Дроссель-клапаны для регулирования расхода воздуха, в обечайке, с сектором управления, из оцинкованной стали, прямоугольные, периметр 2000 мм</v>
      </c>
      <c r="H73" t="str">
        <f>Source!H56</f>
        <v>шт.</v>
      </c>
      <c r="I73">
        <f>Source!I56</f>
        <v>1</v>
      </c>
      <c r="J73">
        <v>1</v>
      </c>
      <c r="K73">
        <f>Source!AC56</f>
        <v>3423.7</v>
      </c>
      <c r="L73">
        <f>K73*I73</f>
        <v>3423.7</v>
      </c>
      <c r="M73">
        <f>Source!AC56*IF(Source!BC56&lt;&gt;0,Source!BC56,1)</f>
        <v>3423.7</v>
      </c>
      <c r="N73">
        <f>M73*I73</f>
        <v>3423.7</v>
      </c>
      <c r="O73">
        <f>Source!GF56</f>
        <v>1556107571</v>
      </c>
      <c r="P73">
        <v>-663553972</v>
      </c>
      <c r="Q73">
        <v>-663553972</v>
      </c>
    </row>
    <row r="74" spans="1:17" ht="12.75">
      <c r="A74">
        <f>Source!A57</f>
        <v>18</v>
      </c>
      <c r="C74">
        <v>3</v>
      </c>
      <c r="D74">
        <f>Source!BI57</f>
        <v>4</v>
      </c>
      <c r="E74">
        <f>Source!FS57</f>
        <v>0</v>
      </c>
      <c r="F74" t="str">
        <f>Source!F57</f>
        <v>21.19-3-19</v>
      </c>
      <c r="G74" t="str">
        <f>Source!G57</f>
        <v>Воздуховоды прямоугольного сечения из оцинкованной стали, толщина стенки до 1,2 мм, периметр до 4000 мм</v>
      </c>
      <c r="H74" t="str">
        <f>Source!H57</f>
        <v>м2</v>
      </c>
      <c r="I74">
        <f>Source!I57</f>
        <v>48</v>
      </c>
      <c r="J74">
        <v>1</v>
      </c>
      <c r="K74">
        <f>Source!AC57</f>
        <v>788.47</v>
      </c>
      <c r="L74">
        <f>K74*I74</f>
        <v>37846.56</v>
      </c>
      <c r="M74">
        <f>Source!AC57*IF(Source!BC57&lt;&gt;0,Source!BC57,1)</f>
        <v>788.47</v>
      </c>
      <c r="N74">
        <f>M74*I74</f>
        <v>37846.56</v>
      </c>
      <c r="O74">
        <f>Source!GF57</f>
        <v>1654362007</v>
      </c>
      <c r="P74">
        <v>1579142516</v>
      </c>
      <c r="Q74">
        <v>1579142516</v>
      </c>
    </row>
    <row r="75" spans="1:17" ht="12.75">
      <c r="A75">
        <f>Source!A58</f>
        <v>18</v>
      </c>
      <c r="C75">
        <v>3</v>
      </c>
      <c r="D75">
        <f>Source!BI58</f>
        <v>4</v>
      </c>
      <c r="E75">
        <f>Source!FS58</f>
        <v>0</v>
      </c>
      <c r="F75" t="str">
        <f>Source!F58</f>
        <v>цена поставщика Том1. п.16</v>
      </c>
      <c r="G75" t="str">
        <f>Source!G58</f>
        <v>Лючок для прочистки воздуховодов цена=374/1,18=316,95</v>
      </c>
      <c r="H75" t="str">
        <f>Source!H58</f>
        <v>ШТ</v>
      </c>
      <c r="I75">
        <f>Source!I58</f>
        <v>2</v>
      </c>
      <c r="J75">
        <v>1</v>
      </c>
      <c r="K75">
        <f>Source!AC58</f>
        <v>316.95</v>
      </c>
      <c r="L75">
        <f>K75*I75</f>
        <v>633.9</v>
      </c>
      <c r="M75">
        <f>ROUND(Source!FF58/(1+Source!FD58/100),2)</f>
        <v>316.95</v>
      </c>
      <c r="N75">
        <f>M75*I75</f>
        <v>633.9</v>
      </c>
      <c r="O75">
        <f>Source!GF58</f>
        <v>-2029574086</v>
      </c>
      <c r="P75">
        <v>-1529615798</v>
      </c>
      <c r="Q75">
        <v>-1529615798</v>
      </c>
    </row>
    <row r="76" spans="1:17" ht="12.75">
      <c r="A76">
        <f>Source!A59</f>
        <v>17</v>
      </c>
      <c r="C76">
        <v>3</v>
      </c>
      <c r="D76">
        <v>0</v>
      </c>
      <c r="E76">
        <f>SmtRes!AV81</f>
        <v>0</v>
      </c>
      <c r="F76" t="str">
        <f>SmtRes!I81</f>
        <v>21.1-6-42</v>
      </c>
      <c r="G76" t="str">
        <f>SmtRes!K81</f>
        <v>Краски масляные жидкотертые цветные (готовые к употреблению) для наружных и внутренних работ, марка "Армафиниш"</v>
      </c>
      <c r="H76" t="str">
        <f>SmtRes!O81</f>
        <v>л</v>
      </c>
      <c r="I76">
        <f>SmtRes!Y81*Source!I59</f>
        <v>6.4</v>
      </c>
      <c r="J76">
        <f>SmtRes!AO81</f>
        <v>1</v>
      </c>
      <c r="K76">
        <f>SmtRes!AE81</f>
        <v>1212.9</v>
      </c>
      <c r="L76">
        <f>I76*K76</f>
        <v>7762.560000000001</v>
      </c>
      <c r="M76">
        <f>SmtRes!AA81</f>
        <v>1212.9</v>
      </c>
      <c r="N76">
        <f>I76*M76</f>
        <v>7762.560000000001</v>
      </c>
      <c r="O76">
        <f>SmtRes!X81</f>
        <v>1660491037</v>
      </c>
      <c r="P76">
        <v>1661665930</v>
      </c>
      <c r="Q76">
        <v>1661665930</v>
      </c>
    </row>
    <row r="77" spans="1:17" ht="12.75">
      <c r="A77">
        <f>Source!A59</f>
        <v>17</v>
      </c>
      <c r="C77">
        <v>3</v>
      </c>
      <c r="D77">
        <v>0</v>
      </c>
      <c r="E77">
        <f>SmtRes!AV79</f>
        <v>0</v>
      </c>
      <c r="F77" t="str">
        <f>SmtRes!I79</f>
        <v>21.1-25-153</v>
      </c>
      <c r="G77" t="str">
        <f>SmtRes!K79</f>
        <v>Лента термоизоляционная, "Армафлекс", ширина (толщина) 50 (3) мм</v>
      </c>
      <c r="H77" t="str">
        <f>SmtRes!O79</f>
        <v>м</v>
      </c>
      <c r="I77">
        <f>SmtRes!Y79*Source!I59</f>
        <v>51.2</v>
      </c>
      <c r="J77">
        <f>SmtRes!AO79</f>
        <v>1</v>
      </c>
      <c r="K77">
        <f>SmtRes!AE79</f>
        <v>36.72</v>
      </c>
      <c r="L77">
        <f>I77*K77</f>
        <v>1880.064</v>
      </c>
      <c r="M77">
        <f>SmtRes!AA79</f>
        <v>36.72</v>
      </c>
      <c r="N77">
        <f>I77*M77</f>
        <v>1880.064</v>
      </c>
      <c r="O77">
        <f>SmtRes!X79</f>
        <v>293498812</v>
      </c>
      <c r="P77">
        <v>372580928</v>
      </c>
      <c r="Q77">
        <v>372580928</v>
      </c>
    </row>
    <row r="78" spans="1:17" ht="12.75">
      <c r="A78">
        <f>Source!A60</f>
        <v>18</v>
      </c>
      <c r="C78">
        <v>3</v>
      </c>
      <c r="D78">
        <f>Source!BI60</f>
        <v>4</v>
      </c>
      <c r="E78">
        <f>Source!FS60</f>
        <v>0</v>
      </c>
      <c r="F78" t="str">
        <f>Source!F60</f>
        <v>21.1-14-10</v>
      </c>
      <c r="G78" t="str">
        <f>Source!G60</f>
        <v>Листы теплоизоляционные "Армафлекс", для поверхностей с температурой от -80 до +110 °С, толщина 13 мм</v>
      </c>
      <c r="H78" t="str">
        <f>Source!H60</f>
        <v>м2</v>
      </c>
      <c r="I78">
        <f>Source!I60</f>
        <v>26.879999999999995</v>
      </c>
      <c r="J78">
        <v>1</v>
      </c>
      <c r="K78">
        <f>Source!AC60</f>
        <v>1021.98</v>
      </c>
      <c r="L78">
        <f>K78*I78</f>
        <v>27470.822399999997</v>
      </c>
      <c r="M78">
        <f>Source!AC60*IF(Source!BC60&lt;&gt;0,Source!BC60,1)</f>
        <v>1021.98</v>
      </c>
      <c r="N78">
        <f>M78*I78</f>
        <v>27470.822399999997</v>
      </c>
      <c r="O78">
        <f>Source!GF60</f>
        <v>-89525433</v>
      </c>
      <c r="P78">
        <v>-1479643867</v>
      </c>
      <c r="Q78">
        <v>-1479643867</v>
      </c>
    </row>
    <row r="79" spans="1:17" ht="12.75">
      <c r="A79">
        <f>Source!A61</f>
        <v>18</v>
      </c>
      <c r="C79">
        <v>3</v>
      </c>
      <c r="D79">
        <f>Source!BI61</f>
        <v>4</v>
      </c>
      <c r="E79">
        <f>Source!FS61</f>
        <v>0</v>
      </c>
      <c r="F79" t="str">
        <f>Source!F61</f>
        <v>21.1-25-782</v>
      </c>
      <c r="G79" t="str">
        <f>Source!G61</f>
        <v>Клей резиновый, 78 БЦСП</v>
      </c>
      <c r="H79" t="str">
        <f>Source!H61</f>
        <v>кг</v>
      </c>
      <c r="I79">
        <f>Source!I61</f>
        <v>5.12</v>
      </c>
      <c r="J79">
        <v>1</v>
      </c>
      <c r="K79">
        <f>Source!AC61</f>
        <v>252.32</v>
      </c>
      <c r="L79">
        <f>K79*I79</f>
        <v>1291.8784</v>
      </c>
      <c r="M79">
        <f>Source!AC61*IF(Source!BC61&lt;&gt;0,Source!BC61,1)</f>
        <v>252.32</v>
      </c>
      <c r="N79">
        <f>M79*I79</f>
        <v>1291.8784</v>
      </c>
      <c r="O79">
        <f>Source!GF61</f>
        <v>-1981075866</v>
      </c>
      <c r="P79">
        <v>-1889970639</v>
      </c>
      <c r="Q79">
        <v>-1889970639</v>
      </c>
    </row>
    <row r="80" spans="1:17" ht="12.75">
      <c r="A80">
        <f>Source!A62</f>
        <v>17</v>
      </c>
      <c r="C80">
        <v>3</v>
      </c>
      <c r="D80">
        <v>0</v>
      </c>
      <c r="E80">
        <f>SmtRes!AV85</f>
        <v>0</v>
      </c>
      <c r="F80" t="str">
        <f>SmtRes!I85</f>
        <v>21.1-23-10</v>
      </c>
      <c r="G80" t="str">
        <f>SmtRes!K85</f>
        <v>Электроды, тип Э-42А, диаметр 4-6 мм</v>
      </c>
      <c r="H80" t="str">
        <f>SmtRes!O85</f>
        <v>т</v>
      </c>
      <c r="I80">
        <f>SmtRes!Y85*Source!I62</f>
        <v>0.00016</v>
      </c>
      <c r="J80">
        <f>SmtRes!AO85</f>
        <v>1</v>
      </c>
      <c r="K80">
        <f>SmtRes!AE85</f>
        <v>109898.69</v>
      </c>
      <c r="L80">
        <f>I80*K80</f>
        <v>17.5837904</v>
      </c>
      <c r="M80">
        <f>SmtRes!AA85</f>
        <v>109898.69</v>
      </c>
      <c r="N80">
        <f>I80*M80</f>
        <v>17.5837904</v>
      </c>
      <c r="O80">
        <f>SmtRes!X85</f>
        <v>-1544492133</v>
      </c>
      <c r="P80">
        <v>349305125</v>
      </c>
      <c r="Q80">
        <v>349305125</v>
      </c>
    </row>
    <row r="81" spans="1:17" ht="12.75">
      <c r="A81">
        <f>Source!A62</f>
        <v>17</v>
      </c>
      <c r="C81">
        <v>3</v>
      </c>
      <c r="D81">
        <v>0</v>
      </c>
      <c r="E81">
        <f>SmtRes!AV84</f>
        <v>0</v>
      </c>
      <c r="F81" t="str">
        <f>SmtRes!I84</f>
        <v>21.1-11-21</v>
      </c>
      <c r="G81" t="str">
        <f>SmtRes!K84</f>
        <v>Болты строительные черные с гайками и шайбами (10х100мм)</v>
      </c>
      <c r="H81" t="str">
        <f>SmtRes!O84</f>
        <v>т</v>
      </c>
      <c r="I81">
        <f>SmtRes!Y84*Source!I62</f>
        <v>0.00071</v>
      </c>
      <c r="J81">
        <f>SmtRes!AO84</f>
        <v>1</v>
      </c>
      <c r="K81">
        <f>SmtRes!AE84</f>
        <v>85160.23</v>
      </c>
      <c r="L81">
        <f>I81*K81</f>
        <v>60.4637633</v>
      </c>
      <c r="M81">
        <f>SmtRes!AA84</f>
        <v>85160.23</v>
      </c>
      <c r="N81">
        <f>I81*M81</f>
        <v>60.4637633</v>
      </c>
      <c r="O81">
        <f>SmtRes!X84</f>
        <v>-441702737</v>
      </c>
      <c r="P81">
        <v>868950196</v>
      </c>
      <c r="Q81">
        <v>868950196</v>
      </c>
    </row>
    <row r="82" spans="1:17" ht="12.75">
      <c r="A82">
        <f>Source!A62</f>
        <v>17</v>
      </c>
      <c r="C82">
        <v>2</v>
      </c>
      <c r="D82">
        <v>0</v>
      </c>
      <c r="E82">
        <f>SmtRes!AV83</f>
        <v>0</v>
      </c>
      <c r="F82" t="str">
        <f>SmtRes!I83</f>
        <v>22.1-13-14</v>
      </c>
      <c r="G82" t="str">
        <f>SmtRes!K83</f>
        <v>Установки для сварки ручной дуговой (постоянного тока)</v>
      </c>
      <c r="H82" t="str">
        <f>SmtRes!O83</f>
        <v>маш.-ч</v>
      </c>
      <c r="I82">
        <f>SmtRes!Y83*Source!I62</f>
        <v>0.15</v>
      </c>
      <c r="J82">
        <f>SmtRes!AO83</f>
        <v>1</v>
      </c>
      <c r="K82">
        <f>SmtRes!AF83</f>
        <v>32.82</v>
      </c>
      <c r="L82">
        <f>I82*K82</f>
        <v>4.923</v>
      </c>
      <c r="M82">
        <f>SmtRes!AB83</f>
        <v>32.82</v>
      </c>
      <c r="N82">
        <f>I82*M82</f>
        <v>4.923</v>
      </c>
      <c r="O82">
        <f>SmtRes!X83</f>
        <v>144256025</v>
      </c>
      <c r="P82">
        <v>-1208362683</v>
      </c>
      <c r="Q82">
        <v>-1208362683</v>
      </c>
    </row>
    <row r="83" spans="1:17" ht="12.75">
      <c r="A83">
        <f>Source!A63</f>
        <v>18</v>
      </c>
      <c r="C83">
        <v>3</v>
      </c>
      <c r="D83">
        <f>Source!BI63</f>
        <v>4</v>
      </c>
      <c r="E83">
        <f>Source!FS63</f>
        <v>0</v>
      </c>
      <c r="F83" t="str">
        <f>Source!F63</f>
        <v>цена поставщика Том1. п.17</v>
      </c>
      <c r="G83" t="str">
        <f>Source!G63</f>
        <v>Зонт над шахтой 720х720х100 ВЕТЕРРА цена=1683/1,18=1426,27</v>
      </c>
      <c r="H83" t="str">
        <f>Source!H63</f>
        <v>ШТ</v>
      </c>
      <c r="I83">
        <f>Source!I63</f>
        <v>1</v>
      </c>
      <c r="J83">
        <v>1</v>
      </c>
      <c r="K83">
        <f>Source!AC63</f>
        <v>1426.27</v>
      </c>
      <c r="L83">
        <f>K83*I83</f>
        <v>1426.27</v>
      </c>
      <c r="M83">
        <f>ROUND(Source!FF63/(1+Source!FD63/100),2)</f>
        <v>1426.27</v>
      </c>
      <c r="N83">
        <f>M83*I83</f>
        <v>1426.27</v>
      </c>
      <c r="O83">
        <f>Source!GF63</f>
        <v>1850717941</v>
      </c>
      <c r="P83">
        <v>1941801736</v>
      </c>
      <c r="Q83">
        <v>1941801736</v>
      </c>
    </row>
    <row r="84" spans="1:17" ht="12.75">
      <c r="A84">
        <f>Source!A64</f>
        <v>18</v>
      </c>
      <c r="C84">
        <v>3</v>
      </c>
      <c r="D84">
        <f>Source!BI64</f>
        <v>4</v>
      </c>
      <c r="E84">
        <f>Source!FS64</f>
        <v>0</v>
      </c>
      <c r="F84" t="str">
        <f>Source!F64</f>
        <v>21.19-12-33</v>
      </c>
      <c r="G84" t="str">
        <f>Source!G64</f>
        <v>Средства крепления - кронштейн и подставка под оборудование из сортовой стали</v>
      </c>
      <c r="H84" t="str">
        <f>Source!H64</f>
        <v>кг</v>
      </c>
      <c r="I84">
        <f>Source!I64</f>
        <v>7.1</v>
      </c>
      <c r="J84">
        <v>1</v>
      </c>
      <c r="K84">
        <f>Source!AC64</f>
        <v>98.44</v>
      </c>
      <c r="L84">
        <f>K84*I84</f>
        <v>698.924</v>
      </c>
      <c r="M84">
        <f>Source!AC64*IF(Source!BC64&lt;&gt;0,Source!BC64,1)</f>
        <v>98.44</v>
      </c>
      <c r="N84">
        <f>M84*I84</f>
        <v>698.924</v>
      </c>
      <c r="O84">
        <f>Source!GF64</f>
        <v>378778038</v>
      </c>
      <c r="P84">
        <v>-1968502887</v>
      </c>
      <c r="Q84">
        <v>-1968502887</v>
      </c>
    </row>
    <row r="85" spans="1:17" ht="12.75">
      <c r="A85">
        <f>Source!A66</f>
        <v>17</v>
      </c>
      <c r="C85">
        <v>3</v>
      </c>
      <c r="D85">
        <v>0</v>
      </c>
      <c r="E85">
        <f>SmtRes!AV94</f>
        <v>0</v>
      </c>
      <c r="F85" t="str">
        <f>SmtRes!I94</f>
        <v>21.19-12-55</v>
      </c>
      <c r="G85" t="str">
        <f>SmtRes!K94</f>
        <v>Зонты вентиляционных систем из оцинкованной стали, прямоугольного сечения, 800х800мм</v>
      </c>
      <c r="H85" t="str">
        <f>SmtRes!O94</f>
        <v>шт.</v>
      </c>
      <c r="I85">
        <f>SmtRes!Y94*Source!I66</f>
        <v>7</v>
      </c>
      <c r="J85">
        <f>SmtRes!AO94</f>
        <v>1</v>
      </c>
      <c r="K85">
        <f>SmtRes!AE94</f>
        <v>3019.37</v>
      </c>
      <c r="L85">
        <f>I85*K85</f>
        <v>21135.59</v>
      </c>
      <c r="M85">
        <f>SmtRes!AA94</f>
        <v>3019.37</v>
      </c>
      <c r="N85">
        <f>I85*M85</f>
        <v>21135.59</v>
      </c>
      <c r="O85">
        <f>SmtRes!X94</f>
        <v>1696272956</v>
      </c>
      <c r="P85">
        <v>-488964819</v>
      </c>
      <c r="Q85">
        <v>-488964819</v>
      </c>
    </row>
    <row r="86" spans="1:17" ht="12.75">
      <c r="A86">
        <f>Source!A66</f>
        <v>17</v>
      </c>
      <c r="C86">
        <v>3</v>
      </c>
      <c r="D86">
        <v>0</v>
      </c>
      <c r="E86">
        <f>SmtRes!AV92</f>
        <v>0</v>
      </c>
      <c r="F86" t="str">
        <f>SmtRes!I92</f>
        <v>21.1-23-10</v>
      </c>
      <c r="G86" t="str">
        <f>SmtRes!K92</f>
        <v>Электроды, тип Э-42А, диаметр 4-6 мм</v>
      </c>
      <c r="H86" t="str">
        <f>SmtRes!O92</f>
        <v>т</v>
      </c>
      <c r="I86">
        <f>SmtRes!Y92*Source!I66</f>
        <v>0.0011200000000000001</v>
      </c>
      <c r="J86">
        <f>SmtRes!AO92</f>
        <v>1</v>
      </c>
      <c r="K86">
        <f>SmtRes!AE92</f>
        <v>109898.69</v>
      </c>
      <c r="L86">
        <f>I86*K86</f>
        <v>123.08653280000001</v>
      </c>
      <c r="M86">
        <f>SmtRes!AA92</f>
        <v>109898.69</v>
      </c>
      <c r="N86">
        <f>I86*M86</f>
        <v>123.08653280000001</v>
      </c>
      <c r="O86">
        <f>SmtRes!X92</f>
        <v>-1544492133</v>
      </c>
      <c r="P86">
        <v>349305125</v>
      </c>
      <c r="Q86">
        <v>349305125</v>
      </c>
    </row>
    <row r="87" spans="1:17" ht="12.75">
      <c r="A87">
        <f>Source!A66</f>
        <v>17</v>
      </c>
      <c r="C87">
        <v>3</v>
      </c>
      <c r="D87">
        <v>0</v>
      </c>
      <c r="E87">
        <f>SmtRes!AV91</f>
        <v>0</v>
      </c>
      <c r="F87" t="str">
        <f>SmtRes!I91</f>
        <v>21.1-11-21</v>
      </c>
      <c r="G87" t="str">
        <f>SmtRes!K91</f>
        <v>Болты строительные черные с гайками и шайбами (10х100мм)</v>
      </c>
      <c r="H87" t="str">
        <f>SmtRes!O91</f>
        <v>т</v>
      </c>
      <c r="I87">
        <f>SmtRes!Y91*Source!I66</f>
        <v>0.0049700000000000005</v>
      </c>
      <c r="J87">
        <f>SmtRes!AO91</f>
        <v>1</v>
      </c>
      <c r="K87">
        <f>SmtRes!AE91</f>
        <v>85160.23</v>
      </c>
      <c r="L87">
        <f>I87*K87</f>
        <v>423.24634310000005</v>
      </c>
      <c r="M87">
        <f>SmtRes!AA91</f>
        <v>85160.23</v>
      </c>
      <c r="N87">
        <f>I87*M87</f>
        <v>423.24634310000005</v>
      </c>
      <c r="O87">
        <f>SmtRes!X91</f>
        <v>-441702737</v>
      </c>
      <c r="P87">
        <v>868950196</v>
      </c>
      <c r="Q87">
        <v>868950196</v>
      </c>
    </row>
    <row r="88" spans="1:17" ht="12.75">
      <c r="A88">
        <f>Source!A66</f>
        <v>17</v>
      </c>
      <c r="C88">
        <v>2</v>
      </c>
      <c r="D88">
        <v>0</v>
      </c>
      <c r="E88">
        <f>SmtRes!AV90</f>
        <v>0</v>
      </c>
      <c r="F88" t="str">
        <f>SmtRes!I90</f>
        <v>22.1-13-14</v>
      </c>
      <c r="G88" t="str">
        <f>SmtRes!K90</f>
        <v>Установки для сварки ручной дуговой (постоянного тока)</v>
      </c>
      <c r="H88" t="str">
        <f>SmtRes!O90</f>
        <v>маш.-ч</v>
      </c>
      <c r="I88">
        <f>SmtRes!Y90*Source!I66</f>
        <v>1.05</v>
      </c>
      <c r="J88">
        <f>SmtRes!AO90</f>
        <v>1</v>
      </c>
      <c r="K88">
        <f>SmtRes!AF90</f>
        <v>32.82</v>
      </c>
      <c r="L88">
        <f>I88*K88</f>
        <v>34.461</v>
      </c>
      <c r="M88">
        <f>SmtRes!AB90</f>
        <v>32.82</v>
      </c>
      <c r="N88">
        <f>I88*M88</f>
        <v>34.461</v>
      </c>
      <c r="O88">
        <f>SmtRes!X90</f>
        <v>144256025</v>
      </c>
      <c r="P88">
        <v>-1208362683</v>
      </c>
      <c r="Q88">
        <v>-1208362683</v>
      </c>
    </row>
    <row r="89" spans="1:17" ht="12.75">
      <c r="A89">
        <f>Source!A67</f>
        <v>18</v>
      </c>
      <c r="C89">
        <v>3</v>
      </c>
      <c r="D89">
        <f>Source!BI67</f>
        <v>4</v>
      </c>
      <c r="E89">
        <f>Source!FS67</f>
        <v>0</v>
      </c>
      <c r="F89" t="str">
        <f>Source!F67</f>
        <v>21.19-12-33</v>
      </c>
      <c r="G89" t="str">
        <f>Source!G67</f>
        <v>Средства крепления - кронштейн и подставка под оборудование из сортовой стали</v>
      </c>
      <c r="H89" t="str">
        <f>Source!H67</f>
        <v>кг</v>
      </c>
      <c r="I89">
        <f>Source!I67</f>
        <v>49</v>
      </c>
      <c r="J89">
        <v>1</v>
      </c>
      <c r="K89">
        <f>Source!AC67</f>
        <v>98.44</v>
      </c>
      <c r="L89">
        <f>K89*I89</f>
        <v>4823.5599999999995</v>
      </c>
      <c r="M89">
        <f>Source!AC67*IF(Source!BC67&lt;&gt;0,Source!BC67,1)</f>
        <v>98.44</v>
      </c>
      <c r="N89">
        <f>M89*I89</f>
        <v>4823.5599999999995</v>
      </c>
      <c r="O89">
        <f>Source!GF67</f>
        <v>378778038</v>
      </c>
      <c r="P89">
        <v>-1968502887</v>
      </c>
      <c r="Q89">
        <v>-1968502887</v>
      </c>
    </row>
    <row r="90" spans="1:17" ht="12.75">
      <c r="A90">
        <f>Source!A68</f>
        <v>17</v>
      </c>
      <c r="C90">
        <v>3</v>
      </c>
      <c r="D90">
        <v>0</v>
      </c>
      <c r="E90">
        <f>SmtRes!AV100</f>
        <v>0</v>
      </c>
      <c r="F90" t="str">
        <f>SmtRes!I100</f>
        <v>21.19-12-56</v>
      </c>
      <c r="G90" t="str">
        <f>SmtRes!K100</f>
        <v>Зонты вентиляционных систем из оцинкованной стали, прямоугольного сечения, 800х1000мм</v>
      </c>
      <c r="H90" t="str">
        <f>SmtRes!O100</f>
        <v>шт.</v>
      </c>
      <c r="I90">
        <f>SmtRes!Y100*Source!I68</f>
        <v>2</v>
      </c>
      <c r="J90">
        <f>SmtRes!AO100</f>
        <v>1</v>
      </c>
      <c r="K90">
        <f>SmtRes!AE100</f>
        <v>4019.42</v>
      </c>
      <c r="L90">
        <f>I90*K90</f>
        <v>8038.84</v>
      </c>
      <c r="M90">
        <f>SmtRes!AA100</f>
        <v>4019.42</v>
      </c>
      <c r="N90">
        <f>I90*M90</f>
        <v>8038.84</v>
      </c>
      <c r="O90">
        <f>SmtRes!X100</f>
        <v>581673312</v>
      </c>
      <c r="P90">
        <v>1825415654</v>
      </c>
      <c r="Q90">
        <v>1825415654</v>
      </c>
    </row>
    <row r="91" spans="1:17" ht="12.75">
      <c r="A91">
        <f>Source!A68</f>
        <v>17</v>
      </c>
      <c r="C91">
        <v>3</v>
      </c>
      <c r="D91">
        <v>0</v>
      </c>
      <c r="E91">
        <f>SmtRes!AV98</f>
        <v>0</v>
      </c>
      <c r="F91" t="str">
        <f>SmtRes!I98</f>
        <v>21.1-23-10</v>
      </c>
      <c r="G91" t="str">
        <f>SmtRes!K98</f>
        <v>Электроды, тип Э-42А, диаметр 4-6 мм</v>
      </c>
      <c r="H91" t="str">
        <f>SmtRes!O98</f>
        <v>т</v>
      </c>
      <c r="I91">
        <f>SmtRes!Y98*Source!I68</f>
        <v>0.00038</v>
      </c>
      <c r="J91">
        <f>SmtRes!AO98</f>
        <v>1</v>
      </c>
      <c r="K91">
        <f>SmtRes!AE98</f>
        <v>109898.69</v>
      </c>
      <c r="L91">
        <f>I91*K91</f>
        <v>41.7615022</v>
      </c>
      <c r="M91">
        <f>SmtRes!AA98</f>
        <v>109898.69</v>
      </c>
      <c r="N91">
        <f>I91*M91</f>
        <v>41.7615022</v>
      </c>
      <c r="O91">
        <f>SmtRes!X98</f>
        <v>-1544492133</v>
      </c>
      <c r="P91">
        <v>349305125</v>
      </c>
      <c r="Q91">
        <v>349305125</v>
      </c>
    </row>
    <row r="92" spans="1:17" ht="12.75">
      <c r="A92">
        <f>Source!A68</f>
        <v>17</v>
      </c>
      <c r="C92">
        <v>3</v>
      </c>
      <c r="D92">
        <v>0</v>
      </c>
      <c r="E92">
        <f>SmtRes!AV97</f>
        <v>0</v>
      </c>
      <c r="F92" t="str">
        <f>SmtRes!I97</f>
        <v>21.1-11-21</v>
      </c>
      <c r="G92" t="str">
        <f>SmtRes!K97</f>
        <v>Болты строительные черные с гайками и шайбами (10х100мм)</v>
      </c>
      <c r="H92" t="str">
        <f>SmtRes!O97</f>
        <v>т</v>
      </c>
      <c r="I92">
        <f>SmtRes!Y97*Source!I68</f>
        <v>0.00142</v>
      </c>
      <c r="J92">
        <f>SmtRes!AO97</f>
        <v>1</v>
      </c>
      <c r="K92">
        <f>SmtRes!AE97</f>
        <v>85160.23</v>
      </c>
      <c r="L92">
        <f>I92*K92</f>
        <v>120.9275266</v>
      </c>
      <c r="M92">
        <f>SmtRes!AA97</f>
        <v>85160.23</v>
      </c>
      <c r="N92">
        <f>I92*M92</f>
        <v>120.9275266</v>
      </c>
      <c r="O92">
        <f>SmtRes!X97</f>
        <v>-441702737</v>
      </c>
      <c r="P92">
        <v>868950196</v>
      </c>
      <c r="Q92">
        <v>868950196</v>
      </c>
    </row>
    <row r="93" spans="1:17" ht="12.75">
      <c r="A93">
        <f>Source!A68</f>
        <v>17</v>
      </c>
      <c r="C93">
        <v>2</v>
      </c>
      <c r="D93">
        <v>0</v>
      </c>
      <c r="E93">
        <f>SmtRes!AV96</f>
        <v>0</v>
      </c>
      <c r="F93" t="str">
        <f>SmtRes!I96</f>
        <v>22.1-13-14</v>
      </c>
      <c r="G93" t="str">
        <f>SmtRes!K96</f>
        <v>Установки для сварки ручной дуговой (постоянного тока)</v>
      </c>
      <c r="H93" t="str">
        <f>SmtRes!O96</f>
        <v>маш.-ч</v>
      </c>
      <c r="I93">
        <f>SmtRes!Y96*Source!I68</f>
        <v>0.3</v>
      </c>
      <c r="J93">
        <f>SmtRes!AO96</f>
        <v>1</v>
      </c>
      <c r="K93">
        <f>SmtRes!AF96</f>
        <v>32.82</v>
      </c>
      <c r="L93">
        <f>I93*K93</f>
        <v>9.846</v>
      </c>
      <c r="M93">
        <f>SmtRes!AB96</f>
        <v>32.82</v>
      </c>
      <c r="N93">
        <f>I93*M93</f>
        <v>9.846</v>
      </c>
      <c r="O93">
        <f>SmtRes!X96</f>
        <v>144256025</v>
      </c>
      <c r="P93">
        <v>-1208362683</v>
      </c>
      <c r="Q93">
        <v>-1208362683</v>
      </c>
    </row>
    <row r="94" spans="1:17" ht="12.75">
      <c r="A94">
        <f>Source!A69</f>
        <v>18</v>
      </c>
      <c r="C94">
        <v>3</v>
      </c>
      <c r="D94">
        <f>Source!BI69</f>
        <v>4</v>
      </c>
      <c r="E94">
        <f>Source!FS69</f>
        <v>0</v>
      </c>
      <c r="F94" t="str">
        <f>Source!F69</f>
        <v>21.19-12-33</v>
      </c>
      <c r="G94" t="str">
        <f>Source!G69</f>
        <v>Средства крепления - кронштейн и подставка под оборудование из сортовой стали</v>
      </c>
      <c r="H94" t="str">
        <f>Source!H69</f>
        <v>кг</v>
      </c>
      <c r="I94">
        <f>Source!I69</f>
        <v>14</v>
      </c>
      <c r="J94">
        <v>1</v>
      </c>
      <c r="K94">
        <f>Source!AC69</f>
        <v>98.44</v>
      </c>
      <c r="L94">
        <f>K94*I94</f>
        <v>1378.1599999999999</v>
      </c>
      <c r="M94">
        <f>Source!AC69*IF(Source!BC69&lt;&gt;0,Source!BC69,1)</f>
        <v>98.44</v>
      </c>
      <c r="N94">
        <f>M94*I94</f>
        <v>1378.1599999999999</v>
      </c>
      <c r="O94">
        <f>Source!GF69</f>
        <v>378778038</v>
      </c>
      <c r="P94">
        <v>-1968502887</v>
      </c>
      <c r="Q94">
        <v>-1968502887</v>
      </c>
    </row>
    <row r="95" spans="1:17" ht="12.75">
      <c r="A95">
        <f>Source!A70</f>
        <v>17</v>
      </c>
      <c r="C95">
        <v>3</v>
      </c>
      <c r="D95">
        <v>0</v>
      </c>
      <c r="E95">
        <f>SmtRes!AV106</f>
        <v>0</v>
      </c>
      <c r="F95" t="str">
        <f>SmtRes!I106</f>
        <v>21.19-12-57</v>
      </c>
      <c r="G95" t="str">
        <f>SmtRes!K106</f>
        <v>Зонты вентиляционных систем из оцинкованной стали, прямоугольного сечения, 800х1200мм</v>
      </c>
      <c r="H95" t="str">
        <f>SmtRes!O106</f>
        <v>шт.</v>
      </c>
      <c r="I95">
        <f>SmtRes!Y106*Source!I70</f>
        <v>3</v>
      </c>
      <c r="J95">
        <f>SmtRes!AO106</f>
        <v>1</v>
      </c>
      <c r="K95">
        <f>SmtRes!AE106</f>
        <v>4433.98</v>
      </c>
      <c r="L95">
        <f>I95*K95</f>
        <v>13301.939999999999</v>
      </c>
      <c r="M95">
        <f>SmtRes!AA106</f>
        <v>4433.98</v>
      </c>
      <c r="N95">
        <f>I95*M95</f>
        <v>13301.939999999999</v>
      </c>
      <c r="O95">
        <f>SmtRes!X106</f>
        <v>1731261631</v>
      </c>
      <c r="P95">
        <v>1769251115</v>
      </c>
      <c r="Q95">
        <v>1769251115</v>
      </c>
    </row>
    <row r="96" spans="1:17" ht="12.75">
      <c r="A96">
        <f>Source!A70</f>
        <v>17</v>
      </c>
      <c r="C96">
        <v>3</v>
      </c>
      <c r="D96">
        <v>0</v>
      </c>
      <c r="E96">
        <f>SmtRes!AV104</f>
        <v>0</v>
      </c>
      <c r="F96" t="str">
        <f>SmtRes!I104</f>
        <v>21.1-23-10</v>
      </c>
      <c r="G96" t="str">
        <f>SmtRes!K104</f>
        <v>Электроды, тип Э-42А, диаметр 4-6 мм</v>
      </c>
      <c r="H96" t="str">
        <f>SmtRes!O104</f>
        <v>т</v>
      </c>
      <c r="I96">
        <f>SmtRes!Y104*Source!I70</f>
        <v>0.0006000000000000001</v>
      </c>
      <c r="J96">
        <f>SmtRes!AO104</f>
        <v>1</v>
      </c>
      <c r="K96">
        <f>SmtRes!AE104</f>
        <v>109898.69</v>
      </c>
      <c r="L96">
        <f>I96*K96</f>
        <v>65.939214</v>
      </c>
      <c r="M96">
        <f>SmtRes!AA104</f>
        <v>109898.69</v>
      </c>
      <c r="N96">
        <f>I96*M96</f>
        <v>65.939214</v>
      </c>
      <c r="O96">
        <f>SmtRes!X104</f>
        <v>-1544492133</v>
      </c>
      <c r="P96">
        <v>349305125</v>
      </c>
      <c r="Q96">
        <v>349305125</v>
      </c>
    </row>
    <row r="97" spans="1:17" ht="12.75">
      <c r="A97">
        <f>Source!A70</f>
        <v>17</v>
      </c>
      <c r="C97">
        <v>3</v>
      </c>
      <c r="D97">
        <v>0</v>
      </c>
      <c r="E97">
        <f>SmtRes!AV103</f>
        <v>0</v>
      </c>
      <c r="F97" t="str">
        <f>SmtRes!I103</f>
        <v>21.1-11-21</v>
      </c>
      <c r="G97" t="str">
        <f>SmtRes!K103</f>
        <v>Болты строительные черные с гайками и шайбами (10х100мм)</v>
      </c>
      <c r="H97" t="str">
        <f>SmtRes!O103</f>
        <v>т</v>
      </c>
      <c r="I97">
        <f>SmtRes!Y103*Source!I70</f>
        <v>0.00213</v>
      </c>
      <c r="J97">
        <f>SmtRes!AO103</f>
        <v>1</v>
      </c>
      <c r="K97">
        <f>SmtRes!AE103</f>
        <v>85160.23</v>
      </c>
      <c r="L97">
        <f>I97*K97</f>
        <v>181.39128989999998</v>
      </c>
      <c r="M97">
        <f>SmtRes!AA103</f>
        <v>85160.23</v>
      </c>
      <c r="N97">
        <f>I97*M97</f>
        <v>181.39128989999998</v>
      </c>
      <c r="O97">
        <f>SmtRes!X103</f>
        <v>-441702737</v>
      </c>
      <c r="P97">
        <v>868950196</v>
      </c>
      <c r="Q97">
        <v>868950196</v>
      </c>
    </row>
    <row r="98" spans="1:17" ht="12.75">
      <c r="A98">
        <f>Source!A70</f>
        <v>17</v>
      </c>
      <c r="C98">
        <v>2</v>
      </c>
      <c r="D98">
        <v>0</v>
      </c>
      <c r="E98">
        <f>SmtRes!AV102</f>
        <v>0</v>
      </c>
      <c r="F98" t="str">
        <f>SmtRes!I102</f>
        <v>22.1-13-14</v>
      </c>
      <c r="G98" t="str">
        <f>SmtRes!K102</f>
        <v>Установки для сварки ручной дуговой (постоянного тока)</v>
      </c>
      <c r="H98" t="str">
        <f>SmtRes!O102</f>
        <v>маш.-ч</v>
      </c>
      <c r="I98">
        <f>SmtRes!Y102*Source!I70</f>
        <v>0.44999999999999996</v>
      </c>
      <c r="J98">
        <f>SmtRes!AO102</f>
        <v>1</v>
      </c>
      <c r="K98">
        <f>SmtRes!AF102</f>
        <v>32.82</v>
      </c>
      <c r="L98">
        <f>I98*K98</f>
        <v>14.768999999999998</v>
      </c>
      <c r="M98">
        <f>SmtRes!AB102</f>
        <v>32.82</v>
      </c>
      <c r="N98">
        <f>I98*M98</f>
        <v>14.768999999999998</v>
      </c>
      <c r="O98">
        <f>SmtRes!X102</f>
        <v>144256025</v>
      </c>
      <c r="P98">
        <v>-1208362683</v>
      </c>
      <c r="Q98">
        <v>-1208362683</v>
      </c>
    </row>
    <row r="99" spans="1:17" ht="12.75">
      <c r="A99">
        <f>Source!A71</f>
        <v>18</v>
      </c>
      <c r="C99">
        <v>3</v>
      </c>
      <c r="D99">
        <f>Source!BI71</f>
        <v>4</v>
      </c>
      <c r="E99">
        <f>Source!FS71</f>
        <v>0</v>
      </c>
      <c r="F99" t="str">
        <f>Source!F71</f>
        <v>21.19-12-33</v>
      </c>
      <c r="G99" t="str">
        <f>Source!G71</f>
        <v>Средства крепления - кронштейн и подставка под оборудование из сортовой стали</v>
      </c>
      <c r="H99" t="str">
        <f>Source!H71</f>
        <v>кг</v>
      </c>
      <c r="I99">
        <f>Source!I71</f>
        <v>21</v>
      </c>
      <c r="J99">
        <v>1</v>
      </c>
      <c r="K99">
        <f>Source!AC71</f>
        <v>98.44</v>
      </c>
      <c r="L99">
        <f>K99*I99</f>
        <v>2067.24</v>
      </c>
      <c r="M99">
        <f>Source!AC71*IF(Source!BC71&lt;&gt;0,Source!BC71,1)</f>
        <v>98.44</v>
      </c>
      <c r="N99">
        <f>M99*I99</f>
        <v>2067.24</v>
      </c>
      <c r="O99">
        <f>Source!GF71</f>
        <v>378778038</v>
      </c>
      <c r="P99">
        <v>-1968502887</v>
      </c>
      <c r="Q99">
        <v>-1968502887</v>
      </c>
    </row>
    <row r="100" spans="1:17" ht="12.75">
      <c r="A100">
        <f>Source!A72</f>
        <v>17</v>
      </c>
      <c r="C100">
        <v>3</v>
      </c>
      <c r="D100">
        <v>0</v>
      </c>
      <c r="E100">
        <f>SmtRes!AV112</f>
        <v>0</v>
      </c>
      <c r="F100" t="str">
        <f>SmtRes!I112</f>
        <v>21.19-12-57</v>
      </c>
      <c r="G100" t="str">
        <f>SmtRes!K112</f>
        <v>Зонты вентиляционных систем из оцинкованной стали, прямоугольного сечения, 800х1200мм</v>
      </c>
      <c r="H100" t="str">
        <f>SmtRes!O112</f>
        <v>шт.</v>
      </c>
      <c r="I100">
        <f>SmtRes!Y112*Source!I72</f>
        <v>10</v>
      </c>
      <c r="J100">
        <f>SmtRes!AO112</f>
        <v>1</v>
      </c>
      <c r="K100">
        <f>SmtRes!AE112</f>
        <v>4433.98</v>
      </c>
      <c r="L100">
        <f>I100*K100</f>
        <v>44339.799999999996</v>
      </c>
      <c r="M100">
        <f>SmtRes!AA112</f>
        <v>4433.98</v>
      </c>
      <c r="N100">
        <f>I100*M100</f>
        <v>44339.799999999996</v>
      </c>
      <c r="O100">
        <f>SmtRes!X112</f>
        <v>1731261631</v>
      </c>
      <c r="P100">
        <v>1769251115</v>
      </c>
      <c r="Q100">
        <v>1769251115</v>
      </c>
    </row>
    <row r="101" spans="1:17" ht="12.75">
      <c r="A101">
        <f>Source!A72</f>
        <v>17</v>
      </c>
      <c r="C101">
        <v>3</v>
      </c>
      <c r="D101">
        <v>0</v>
      </c>
      <c r="E101">
        <f>SmtRes!AV110</f>
        <v>0</v>
      </c>
      <c r="F101" t="str">
        <f>SmtRes!I110</f>
        <v>21.1-23-10</v>
      </c>
      <c r="G101" t="str">
        <f>SmtRes!K110</f>
        <v>Электроды, тип Э-42А, диаметр 4-6 мм</v>
      </c>
      <c r="H101" t="str">
        <f>SmtRes!O110</f>
        <v>т</v>
      </c>
      <c r="I101">
        <f>SmtRes!Y110*Source!I72</f>
        <v>0.002</v>
      </c>
      <c r="J101">
        <f>SmtRes!AO110</f>
        <v>1</v>
      </c>
      <c r="K101">
        <f>SmtRes!AE110</f>
        <v>109898.69</v>
      </c>
      <c r="L101">
        <f>I101*K101</f>
        <v>219.79738</v>
      </c>
      <c r="M101">
        <f>SmtRes!AA110</f>
        <v>109898.69</v>
      </c>
      <c r="N101">
        <f>I101*M101</f>
        <v>219.79738</v>
      </c>
      <c r="O101">
        <f>SmtRes!X110</f>
        <v>-1544492133</v>
      </c>
      <c r="P101">
        <v>349305125</v>
      </c>
      <c r="Q101">
        <v>349305125</v>
      </c>
    </row>
    <row r="102" spans="1:17" ht="12.75">
      <c r="A102">
        <f>Source!A72</f>
        <v>17</v>
      </c>
      <c r="C102">
        <v>3</v>
      </c>
      <c r="D102">
        <v>0</v>
      </c>
      <c r="E102">
        <f>SmtRes!AV109</f>
        <v>0</v>
      </c>
      <c r="F102" t="str">
        <f>SmtRes!I109</f>
        <v>21.1-11-21</v>
      </c>
      <c r="G102" t="str">
        <f>SmtRes!K109</f>
        <v>Болты строительные черные с гайками и шайбами (10х100мм)</v>
      </c>
      <c r="H102" t="str">
        <f>SmtRes!O109</f>
        <v>т</v>
      </c>
      <c r="I102">
        <f>SmtRes!Y109*Source!I72</f>
        <v>0.0071</v>
      </c>
      <c r="J102">
        <f>SmtRes!AO109</f>
        <v>1</v>
      </c>
      <c r="K102">
        <f>SmtRes!AE109</f>
        <v>85160.23</v>
      </c>
      <c r="L102">
        <f>I102*K102</f>
        <v>604.637633</v>
      </c>
      <c r="M102">
        <f>SmtRes!AA109</f>
        <v>85160.23</v>
      </c>
      <c r="N102">
        <f>I102*M102</f>
        <v>604.637633</v>
      </c>
      <c r="O102">
        <f>SmtRes!X109</f>
        <v>-441702737</v>
      </c>
      <c r="P102">
        <v>868950196</v>
      </c>
      <c r="Q102">
        <v>868950196</v>
      </c>
    </row>
    <row r="103" spans="1:17" ht="12.75">
      <c r="A103">
        <f>Source!A72</f>
        <v>17</v>
      </c>
      <c r="C103">
        <v>2</v>
      </c>
      <c r="D103">
        <v>0</v>
      </c>
      <c r="E103">
        <f>SmtRes!AV108</f>
        <v>0</v>
      </c>
      <c r="F103" t="str">
        <f>SmtRes!I108</f>
        <v>22.1-13-14</v>
      </c>
      <c r="G103" t="str">
        <f>SmtRes!K108</f>
        <v>Установки для сварки ручной дуговой (постоянного тока)</v>
      </c>
      <c r="H103" t="str">
        <f>SmtRes!O108</f>
        <v>маш.-ч</v>
      </c>
      <c r="I103">
        <f>SmtRes!Y108*Source!I72</f>
        <v>1.5</v>
      </c>
      <c r="J103">
        <f>SmtRes!AO108</f>
        <v>1</v>
      </c>
      <c r="K103">
        <f>SmtRes!AF108</f>
        <v>32.82</v>
      </c>
      <c r="L103">
        <f>I103*K103</f>
        <v>49.230000000000004</v>
      </c>
      <c r="M103">
        <f>SmtRes!AB108</f>
        <v>32.82</v>
      </c>
      <c r="N103">
        <f>I103*M103</f>
        <v>49.230000000000004</v>
      </c>
      <c r="O103">
        <f>SmtRes!X108</f>
        <v>144256025</v>
      </c>
      <c r="P103">
        <v>-1208362683</v>
      </c>
      <c r="Q103">
        <v>-1208362683</v>
      </c>
    </row>
    <row r="104" spans="1:17" ht="12.75">
      <c r="A104">
        <f>Source!A73</f>
        <v>18</v>
      </c>
      <c r="C104">
        <v>3</v>
      </c>
      <c r="D104">
        <f>Source!BI73</f>
        <v>4</v>
      </c>
      <c r="E104">
        <f>Source!FS73</f>
        <v>0</v>
      </c>
      <c r="F104" t="str">
        <f>Source!F73</f>
        <v>21.19-12-33</v>
      </c>
      <c r="G104" t="str">
        <f>Source!G73</f>
        <v>Средства крепления - кронштейн и подставка под оборудование из сортовой стали</v>
      </c>
      <c r="H104" t="str">
        <f>Source!H73</f>
        <v>кг</v>
      </c>
      <c r="I104">
        <f>Source!I73</f>
        <v>71</v>
      </c>
      <c r="J104">
        <v>1</v>
      </c>
      <c r="K104">
        <f>Source!AC73</f>
        <v>98.44</v>
      </c>
      <c r="L104">
        <f>K104*I104</f>
        <v>6989.24</v>
      </c>
      <c r="M104">
        <f>Source!AC73*IF(Source!BC73&lt;&gt;0,Source!BC73,1)</f>
        <v>98.44</v>
      </c>
      <c r="N104">
        <f>M104*I104</f>
        <v>6989.24</v>
      </c>
      <c r="O104">
        <f>Source!GF73</f>
        <v>378778038</v>
      </c>
      <c r="P104">
        <v>-1968502887</v>
      </c>
      <c r="Q104">
        <v>-1968502887</v>
      </c>
    </row>
    <row r="105" spans="1:17" ht="12.75">
      <c r="A105">
        <f>Source!A74</f>
        <v>17</v>
      </c>
      <c r="C105">
        <v>3</v>
      </c>
      <c r="D105">
        <v>0</v>
      </c>
      <c r="E105">
        <f>SmtRes!AV118</f>
        <v>0</v>
      </c>
      <c r="F105" t="str">
        <f>SmtRes!I118</f>
        <v>21.19-12-57</v>
      </c>
      <c r="G105" t="str">
        <f>SmtRes!K118</f>
        <v>Зонты вентиляционных систем из оцинкованной стали, прямоугольного сечения, 800х1200мм</v>
      </c>
      <c r="H105" t="str">
        <f>SmtRes!O118</f>
        <v>шт.</v>
      </c>
      <c r="I105">
        <f>SmtRes!Y118*Source!I74</f>
        <v>6</v>
      </c>
      <c r="J105">
        <f>SmtRes!AO118</f>
        <v>1</v>
      </c>
      <c r="K105">
        <f>SmtRes!AE118</f>
        <v>4433.98</v>
      </c>
      <c r="L105">
        <f>I105*K105</f>
        <v>26603.879999999997</v>
      </c>
      <c r="M105">
        <f>SmtRes!AA118</f>
        <v>4433.98</v>
      </c>
      <c r="N105">
        <f>I105*M105</f>
        <v>26603.879999999997</v>
      </c>
      <c r="O105">
        <f>SmtRes!X118</f>
        <v>1731261631</v>
      </c>
      <c r="P105">
        <v>1769251115</v>
      </c>
      <c r="Q105">
        <v>1769251115</v>
      </c>
    </row>
    <row r="106" spans="1:17" ht="12.75">
      <c r="A106">
        <f>Source!A74</f>
        <v>17</v>
      </c>
      <c r="C106">
        <v>3</v>
      </c>
      <c r="D106">
        <v>0</v>
      </c>
      <c r="E106">
        <f>SmtRes!AV116</f>
        <v>0</v>
      </c>
      <c r="F106" t="str">
        <f>SmtRes!I116</f>
        <v>21.1-23-10</v>
      </c>
      <c r="G106" t="str">
        <f>SmtRes!K116</f>
        <v>Электроды, тип Э-42А, диаметр 4-6 мм</v>
      </c>
      <c r="H106" t="str">
        <f>SmtRes!O116</f>
        <v>т</v>
      </c>
      <c r="I106">
        <f>SmtRes!Y116*Source!I74</f>
        <v>0.0012000000000000001</v>
      </c>
      <c r="J106">
        <f>SmtRes!AO116</f>
        <v>1</v>
      </c>
      <c r="K106">
        <f>SmtRes!AE116</f>
        <v>109898.69</v>
      </c>
      <c r="L106">
        <f>I106*K106</f>
        <v>131.878428</v>
      </c>
      <c r="M106">
        <f>SmtRes!AA116</f>
        <v>109898.69</v>
      </c>
      <c r="N106">
        <f>I106*M106</f>
        <v>131.878428</v>
      </c>
      <c r="O106">
        <f>SmtRes!X116</f>
        <v>-1544492133</v>
      </c>
      <c r="P106">
        <v>349305125</v>
      </c>
      <c r="Q106">
        <v>349305125</v>
      </c>
    </row>
    <row r="107" spans="1:17" ht="12.75">
      <c r="A107">
        <f>Source!A74</f>
        <v>17</v>
      </c>
      <c r="C107">
        <v>3</v>
      </c>
      <c r="D107">
        <v>0</v>
      </c>
      <c r="E107">
        <f>SmtRes!AV115</f>
        <v>0</v>
      </c>
      <c r="F107" t="str">
        <f>SmtRes!I115</f>
        <v>21.1-11-21</v>
      </c>
      <c r="G107" t="str">
        <f>SmtRes!K115</f>
        <v>Болты строительные черные с гайками и шайбами (10х100мм)</v>
      </c>
      <c r="H107" t="str">
        <f>SmtRes!O115</f>
        <v>т</v>
      </c>
      <c r="I107">
        <f>SmtRes!Y115*Source!I74</f>
        <v>0.00426</v>
      </c>
      <c r="J107">
        <f>SmtRes!AO115</f>
        <v>1</v>
      </c>
      <c r="K107">
        <f>SmtRes!AE115</f>
        <v>85160.23</v>
      </c>
      <c r="L107">
        <f>I107*K107</f>
        <v>362.78257979999995</v>
      </c>
      <c r="M107">
        <f>SmtRes!AA115</f>
        <v>85160.23</v>
      </c>
      <c r="N107">
        <f>I107*M107</f>
        <v>362.78257979999995</v>
      </c>
      <c r="O107">
        <f>SmtRes!X115</f>
        <v>-441702737</v>
      </c>
      <c r="P107">
        <v>868950196</v>
      </c>
      <c r="Q107">
        <v>868950196</v>
      </c>
    </row>
    <row r="108" spans="1:17" ht="12.75">
      <c r="A108">
        <f>Source!A74</f>
        <v>17</v>
      </c>
      <c r="C108">
        <v>2</v>
      </c>
      <c r="D108">
        <v>0</v>
      </c>
      <c r="E108">
        <f>SmtRes!AV114</f>
        <v>0</v>
      </c>
      <c r="F108" t="str">
        <f>SmtRes!I114</f>
        <v>22.1-13-14</v>
      </c>
      <c r="G108" t="str">
        <f>SmtRes!K114</f>
        <v>Установки для сварки ручной дуговой (постоянного тока)</v>
      </c>
      <c r="H108" t="str">
        <f>SmtRes!O114</f>
        <v>маш.-ч</v>
      </c>
      <c r="I108">
        <f>SmtRes!Y114*Source!I74</f>
        <v>0.8999999999999999</v>
      </c>
      <c r="J108">
        <f>SmtRes!AO114</f>
        <v>1</v>
      </c>
      <c r="K108">
        <f>SmtRes!AF114</f>
        <v>32.82</v>
      </c>
      <c r="L108">
        <f>I108*K108</f>
        <v>29.537999999999997</v>
      </c>
      <c r="M108">
        <f>SmtRes!AB114</f>
        <v>32.82</v>
      </c>
      <c r="N108">
        <f>I108*M108</f>
        <v>29.537999999999997</v>
      </c>
      <c r="O108">
        <f>SmtRes!X114</f>
        <v>144256025</v>
      </c>
      <c r="P108">
        <v>-1208362683</v>
      </c>
      <c r="Q108">
        <v>-1208362683</v>
      </c>
    </row>
    <row r="109" spans="1:17" ht="12.75">
      <c r="A109">
        <f>Source!A75</f>
        <v>18</v>
      </c>
      <c r="C109">
        <v>3</v>
      </c>
      <c r="D109">
        <f>Source!BI75</f>
        <v>4</v>
      </c>
      <c r="E109">
        <f>Source!FS75</f>
        <v>0</v>
      </c>
      <c r="F109" t="str">
        <f>Source!F75</f>
        <v>21.19-12-33</v>
      </c>
      <c r="G109" t="str">
        <f>Source!G75</f>
        <v>Средства крепления - кронштейн и подставка под оборудование из сортовой стали</v>
      </c>
      <c r="H109" t="str">
        <f>Source!H75</f>
        <v>кг</v>
      </c>
      <c r="I109">
        <f>Source!I75</f>
        <v>42.6</v>
      </c>
      <c r="J109">
        <v>1</v>
      </c>
      <c r="K109">
        <f>Source!AC75</f>
        <v>98.44</v>
      </c>
      <c r="L109">
        <f>K109*I109</f>
        <v>4193.544</v>
      </c>
      <c r="M109">
        <f>Source!AC75*IF(Source!BC75&lt;&gt;0,Source!BC75,1)</f>
        <v>98.44</v>
      </c>
      <c r="N109">
        <f>M109*I109</f>
        <v>4193.544</v>
      </c>
      <c r="O109">
        <f>Source!GF75</f>
        <v>378778038</v>
      </c>
      <c r="P109">
        <v>-1968502887</v>
      </c>
      <c r="Q109">
        <v>-1968502887</v>
      </c>
    </row>
    <row r="110" spans="1:17" ht="12.75">
      <c r="A110">
        <f>Source!A76</f>
        <v>17</v>
      </c>
      <c r="C110">
        <v>3</v>
      </c>
      <c r="D110">
        <v>0</v>
      </c>
      <c r="E110">
        <f>SmtRes!AV131</f>
        <v>0</v>
      </c>
      <c r="F110" t="str">
        <f>SmtRes!I131</f>
        <v>21.3-2-14</v>
      </c>
      <c r="G110" t="str">
        <f>SmtRes!K131</f>
        <v>Растворы цементные, марка 75</v>
      </c>
      <c r="H110" t="str">
        <f>SmtRes!O131</f>
        <v>м3</v>
      </c>
      <c r="I110">
        <f>SmtRes!Y131*Source!I76</f>
        <v>0.009</v>
      </c>
      <c r="J110">
        <f>SmtRes!AO131</f>
        <v>1</v>
      </c>
      <c r="K110">
        <f>SmtRes!AE131</f>
        <v>2834.05</v>
      </c>
      <c r="L110">
        <f aca="true" t="shared" si="12" ref="L110:L121">I110*K110</f>
        <v>25.50645</v>
      </c>
      <c r="M110">
        <f>SmtRes!AA131</f>
        <v>2834.05</v>
      </c>
      <c r="N110">
        <f aca="true" t="shared" si="13" ref="N110:N121">I110*M110</f>
        <v>25.50645</v>
      </c>
      <c r="O110">
        <f>SmtRes!X131</f>
        <v>184829274</v>
      </c>
      <c r="P110">
        <v>2110942179</v>
      </c>
      <c r="Q110">
        <v>2110942179</v>
      </c>
    </row>
    <row r="111" spans="1:17" ht="12.75">
      <c r="A111">
        <f>Source!A76</f>
        <v>17</v>
      </c>
      <c r="C111">
        <v>3</v>
      </c>
      <c r="D111">
        <v>0</v>
      </c>
      <c r="E111">
        <f>SmtRes!AV130</f>
        <v>0</v>
      </c>
      <c r="F111" t="str">
        <f>SmtRes!I130</f>
        <v>21.1-6-90</v>
      </c>
      <c r="G111" t="str">
        <f>SmtRes!K130</f>
        <v>Олифа для окраски комбинированная "Оксоль"</v>
      </c>
      <c r="H111" t="str">
        <f>SmtRes!O130</f>
        <v>кг</v>
      </c>
      <c r="I111">
        <f>SmtRes!Y130*Source!I76</f>
        <v>0.045</v>
      </c>
      <c r="J111">
        <f>SmtRes!AO130</f>
        <v>1</v>
      </c>
      <c r="K111">
        <f>SmtRes!AE130</f>
        <v>55.6</v>
      </c>
      <c r="L111">
        <f t="shared" si="12"/>
        <v>2.502</v>
      </c>
      <c r="M111">
        <f>SmtRes!AA130</f>
        <v>55.6</v>
      </c>
      <c r="N111">
        <f t="shared" si="13"/>
        <v>2.502</v>
      </c>
      <c r="O111">
        <f>SmtRes!X130</f>
        <v>-1579092917</v>
      </c>
      <c r="P111">
        <v>-1619101813</v>
      </c>
      <c r="Q111">
        <v>-1619101813</v>
      </c>
    </row>
    <row r="112" spans="1:17" ht="12.75">
      <c r="A112">
        <f>Source!A76</f>
        <v>17</v>
      </c>
      <c r="C112">
        <v>3</v>
      </c>
      <c r="D112">
        <v>0</v>
      </c>
      <c r="E112">
        <f>SmtRes!AV129</f>
        <v>0</v>
      </c>
      <c r="F112" t="str">
        <f>SmtRes!I129</f>
        <v>21.1-6-46</v>
      </c>
      <c r="G112" t="str">
        <f>SmtRes!K129</f>
        <v>Краски масляные жидкотертые цветные (готовые к употреблению) для наружных и внутренних работ, марка МА-15, сурик железный для окраски по металлу</v>
      </c>
      <c r="H112" t="str">
        <f>SmtRes!O129</f>
        <v>т</v>
      </c>
      <c r="I112">
        <f>SmtRes!Y129*Source!I76</f>
        <v>0.00038</v>
      </c>
      <c r="J112">
        <f>SmtRes!AO129</f>
        <v>1</v>
      </c>
      <c r="K112">
        <f>SmtRes!AE129</f>
        <v>66844.36</v>
      </c>
      <c r="L112">
        <f t="shared" si="12"/>
        <v>25.400856800000003</v>
      </c>
      <c r="M112">
        <f>SmtRes!AA129</f>
        <v>66844.36</v>
      </c>
      <c r="N112">
        <f t="shared" si="13"/>
        <v>25.400856800000003</v>
      </c>
      <c r="O112">
        <f>SmtRes!X129</f>
        <v>715655147</v>
      </c>
      <c r="P112">
        <v>1538281917</v>
      </c>
      <c r="Q112">
        <v>1538281917</v>
      </c>
    </row>
    <row r="113" spans="1:17" ht="12.75">
      <c r="A113">
        <f>Source!A76</f>
        <v>17</v>
      </c>
      <c r="C113">
        <v>3</v>
      </c>
      <c r="D113">
        <v>0</v>
      </c>
      <c r="E113">
        <f>SmtRes!AV128</f>
        <v>0</v>
      </c>
      <c r="F113" t="str">
        <f>SmtRes!I128</f>
        <v>21.1-25-305</v>
      </c>
      <c r="G113" t="str">
        <f>SmtRes!K128</f>
        <v>Резина техническая прессованная</v>
      </c>
      <c r="H113" t="str">
        <f>SmtRes!O128</f>
        <v>т</v>
      </c>
      <c r="I113">
        <f>SmtRes!Y128*Source!I76</f>
        <v>0.00272</v>
      </c>
      <c r="J113">
        <f>SmtRes!AO128</f>
        <v>1</v>
      </c>
      <c r="K113">
        <f>SmtRes!AE128</f>
        <v>142669.85</v>
      </c>
      <c r="L113">
        <f t="shared" si="12"/>
        <v>388.06199200000003</v>
      </c>
      <c r="M113">
        <f>SmtRes!AA128</f>
        <v>142669.85</v>
      </c>
      <c r="N113">
        <f t="shared" si="13"/>
        <v>388.06199200000003</v>
      </c>
      <c r="O113">
        <f>SmtRes!X128</f>
        <v>218864245</v>
      </c>
      <c r="P113">
        <v>-1557787238</v>
      </c>
      <c r="Q113">
        <v>-1557787238</v>
      </c>
    </row>
    <row r="114" spans="1:17" ht="12.75">
      <c r="A114">
        <f>Source!A76</f>
        <v>17</v>
      </c>
      <c r="C114">
        <v>3</v>
      </c>
      <c r="D114">
        <v>0</v>
      </c>
      <c r="E114">
        <f>SmtRes!AV127</f>
        <v>0</v>
      </c>
      <c r="F114" t="str">
        <f>SmtRes!I127</f>
        <v>21.1-25-16</v>
      </c>
      <c r="G114" t="str">
        <f>SmtRes!K127</f>
        <v>Волокно льняное №11 для уплотнения резьбовых соединений при монтаже систем водоснабжения и отопления</v>
      </c>
      <c r="H114" t="str">
        <f>SmtRes!O127</f>
        <v>кг</v>
      </c>
      <c r="I114">
        <f>SmtRes!Y127*Source!I76</f>
        <v>0.15</v>
      </c>
      <c r="J114">
        <f>SmtRes!AO127</f>
        <v>1</v>
      </c>
      <c r="K114">
        <f>SmtRes!AE127</f>
        <v>215.01</v>
      </c>
      <c r="L114">
        <f t="shared" si="12"/>
        <v>32.2515</v>
      </c>
      <c r="M114">
        <f>SmtRes!AA127</f>
        <v>215.01</v>
      </c>
      <c r="N114">
        <f t="shared" si="13"/>
        <v>32.2515</v>
      </c>
      <c r="O114">
        <f>SmtRes!X127</f>
        <v>-100344450</v>
      </c>
      <c r="P114">
        <v>1242886366</v>
      </c>
      <c r="Q114">
        <v>1242886366</v>
      </c>
    </row>
    <row r="115" spans="1:17" ht="12.75">
      <c r="A115">
        <f>Source!A76</f>
        <v>17</v>
      </c>
      <c r="C115">
        <v>3</v>
      </c>
      <c r="D115">
        <v>0</v>
      </c>
      <c r="E115">
        <f>SmtRes!AV126</f>
        <v>0</v>
      </c>
      <c r="F115" t="str">
        <f>SmtRes!I126</f>
        <v>21.1-23-10</v>
      </c>
      <c r="G115" t="str">
        <f>SmtRes!K126</f>
        <v>Электроды, тип Э-42А, диаметр 4-6 мм</v>
      </c>
      <c r="H115" t="str">
        <f>SmtRes!O126</f>
        <v>т</v>
      </c>
      <c r="I115">
        <f>SmtRes!Y126*Source!I76</f>
        <v>0.00034</v>
      </c>
      <c r="J115">
        <f>SmtRes!AO126</f>
        <v>1</v>
      </c>
      <c r="K115">
        <f>SmtRes!AE126</f>
        <v>109898.69</v>
      </c>
      <c r="L115">
        <f t="shared" si="12"/>
        <v>37.3655546</v>
      </c>
      <c r="M115">
        <f>SmtRes!AA126</f>
        <v>109898.69</v>
      </c>
      <c r="N115">
        <f t="shared" si="13"/>
        <v>37.3655546</v>
      </c>
      <c r="O115">
        <f>SmtRes!X126</f>
        <v>-1544492133</v>
      </c>
      <c r="P115">
        <v>349305125</v>
      </c>
      <c r="Q115">
        <v>349305125</v>
      </c>
    </row>
    <row r="116" spans="1:17" ht="12.75">
      <c r="A116">
        <f>Source!A76</f>
        <v>17</v>
      </c>
      <c r="C116">
        <v>3</v>
      </c>
      <c r="D116">
        <v>0</v>
      </c>
      <c r="E116">
        <f>SmtRes!AV125</f>
        <v>0</v>
      </c>
      <c r="F116" t="str">
        <f>SmtRes!I125</f>
        <v>21.1-22-10</v>
      </c>
      <c r="G116" t="str">
        <f>SmtRes!K125</f>
        <v>Картон строительный многослойный, толщина 6,5 мм</v>
      </c>
      <c r="H116" t="str">
        <f>SmtRes!O125</f>
        <v>м2</v>
      </c>
      <c r="I116">
        <f>SmtRes!Y125*Source!I76</f>
        <v>0.095</v>
      </c>
      <c r="J116">
        <f>SmtRes!AO125</f>
        <v>1</v>
      </c>
      <c r="K116">
        <f>SmtRes!AE125</f>
        <v>32.4</v>
      </c>
      <c r="L116">
        <f t="shared" si="12"/>
        <v>3.078</v>
      </c>
      <c r="M116">
        <f>SmtRes!AA125</f>
        <v>32.4</v>
      </c>
      <c r="N116">
        <f t="shared" si="13"/>
        <v>3.078</v>
      </c>
      <c r="O116">
        <f>SmtRes!X125</f>
        <v>1174073044</v>
      </c>
      <c r="P116">
        <v>1930148253</v>
      </c>
      <c r="Q116">
        <v>1930148253</v>
      </c>
    </row>
    <row r="117" spans="1:17" ht="12.75">
      <c r="A117">
        <f>Source!A76</f>
        <v>17</v>
      </c>
      <c r="C117">
        <v>3</v>
      </c>
      <c r="D117">
        <v>0</v>
      </c>
      <c r="E117">
        <f>SmtRes!AV124</f>
        <v>0</v>
      </c>
      <c r="F117" t="str">
        <f>SmtRes!I124</f>
        <v>21.12-10-29</v>
      </c>
      <c r="G117" t="str">
        <f>SmtRes!K124</f>
        <v>Фитинги (сгоны) из стальных водогазопроводных неоцинкованных труб для соединения стальных трубопроводов с муфтой и контргайкой, диаметр условного прохода до, мм, 40</v>
      </c>
      <c r="H117" t="str">
        <f>SmtRes!O124</f>
        <v>компл.</v>
      </c>
      <c r="I117">
        <f>SmtRes!Y124*Source!I76</f>
        <v>3</v>
      </c>
      <c r="J117">
        <f>SmtRes!AO124</f>
        <v>1</v>
      </c>
      <c r="K117">
        <f>SmtRes!AE124</f>
        <v>109.91</v>
      </c>
      <c r="L117">
        <f t="shared" si="12"/>
        <v>329.73</v>
      </c>
      <c r="M117">
        <f>SmtRes!AA124</f>
        <v>109.91</v>
      </c>
      <c r="N117">
        <f t="shared" si="13"/>
        <v>329.73</v>
      </c>
      <c r="O117">
        <f>SmtRes!X124</f>
        <v>-825519905</v>
      </c>
      <c r="P117">
        <v>1122558064</v>
      </c>
      <c r="Q117">
        <v>1122558064</v>
      </c>
    </row>
    <row r="118" spans="1:17" ht="12.75">
      <c r="A118">
        <f>Source!A76</f>
        <v>17</v>
      </c>
      <c r="C118">
        <v>3</v>
      </c>
      <c r="D118">
        <v>0</v>
      </c>
      <c r="E118">
        <f>SmtRes!AV123</f>
        <v>0</v>
      </c>
      <c r="F118" t="str">
        <f>SmtRes!I123</f>
        <v>21.1-11-95</v>
      </c>
      <c r="G118" t="str">
        <f>SmtRes!K123</f>
        <v>Шайбы для болтов черные</v>
      </c>
      <c r="H118" t="str">
        <f>SmtRes!O123</f>
        <v>т</v>
      </c>
      <c r="I118">
        <f>SmtRes!Y123*Source!I76</f>
        <v>0.00018</v>
      </c>
      <c r="J118">
        <f>SmtRes!AO123</f>
        <v>1</v>
      </c>
      <c r="K118">
        <f>SmtRes!AE123</f>
        <v>99698.6</v>
      </c>
      <c r="L118">
        <f t="shared" si="12"/>
        <v>17.945748000000002</v>
      </c>
      <c r="M118">
        <f>SmtRes!AA123</f>
        <v>99698.6</v>
      </c>
      <c r="N118">
        <f t="shared" si="13"/>
        <v>17.945748000000002</v>
      </c>
      <c r="O118">
        <f>SmtRes!X123</f>
        <v>-116559405</v>
      </c>
      <c r="P118">
        <v>1774448769</v>
      </c>
      <c r="Q118">
        <v>1774448769</v>
      </c>
    </row>
    <row r="119" spans="1:17" ht="12.75">
      <c r="A119">
        <f>Source!A76</f>
        <v>17</v>
      </c>
      <c r="C119">
        <v>3</v>
      </c>
      <c r="D119">
        <v>0</v>
      </c>
      <c r="E119">
        <f>SmtRes!AV122</f>
        <v>0</v>
      </c>
      <c r="F119" t="str">
        <f>SmtRes!I122</f>
        <v>21.1-11-21</v>
      </c>
      <c r="G119" t="str">
        <f>SmtRes!K122</f>
        <v>Болты строительные черные с гайками и шайбами (10х100мм)</v>
      </c>
      <c r="H119" t="str">
        <f>SmtRes!O122</f>
        <v>т</v>
      </c>
      <c r="I119">
        <f>SmtRes!Y122*Source!I76</f>
        <v>0.0042</v>
      </c>
      <c r="J119">
        <f>SmtRes!AO122</f>
        <v>1</v>
      </c>
      <c r="K119">
        <f>SmtRes!AE122</f>
        <v>85160.23</v>
      </c>
      <c r="L119">
        <f t="shared" si="12"/>
        <v>357.672966</v>
      </c>
      <c r="M119">
        <f>SmtRes!AA122</f>
        <v>85160.23</v>
      </c>
      <c r="N119">
        <f t="shared" si="13"/>
        <v>357.672966</v>
      </c>
      <c r="O119">
        <f>SmtRes!X122</f>
        <v>-441702737</v>
      </c>
      <c r="P119">
        <v>868950196</v>
      </c>
      <c r="Q119">
        <v>868950196</v>
      </c>
    </row>
    <row r="120" spans="1:17" ht="12.75">
      <c r="A120">
        <f>Source!A76</f>
        <v>17</v>
      </c>
      <c r="C120">
        <v>3</v>
      </c>
      <c r="D120">
        <v>0</v>
      </c>
      <c r="E120">
        <f>SmtRes!AV121</f>
        <v>0</v>
      </c>
      <c r="F120" t="str">
        <f>SmtRes!I121</f>
        <v>21.1-11-13</v>
      </c>
      <c r="G120" t="str">
        <f>SmtRes!K121</f>
        <v>Болты строительные анкерные с гайками</v>
      </c>
      <c r="H120" t="str">
        <f>SmtRes!O121</f>
        <v>т</v>
      </c>
      <c r="I120">
        <f>SmtRes!Y121*Source!I76</f>
        <v>0.00096</v>
      </c>
      <c r="J120">
        <f>SmtRes!AO121</f>
        <v>1</v>
      </c>
      <c r="K120">
        <f>SmtRes!AE121</f>
        <v>116144.67</v>
      </c>
      <c r="L120">
        <f t="shared" si="12"/>
        <v>111.4988832</v>
      </c>
      <c r="M120">
        <f>SmtRes!AA121</f>
        <v>116144.67</v>
      </c>
      <c r="N120">
        <f t="shared" si="13"/>
        <v>111.4988832</v>
      </c>
      <c r="O120">
        <f>SmtRes!X121</f>
        <v>128113571</v>
      </c>
      <c r="P120">
        <v>-876632260</v>
      </c>
      <c r="Q120">
        <v>-876632260</v>
      </c>
    </row>
    <row r="121" spans="1:17" ht="12.75">
      <c r="A121">
        <f>Source!A76</f>
        <v>17</v>
      </c>
      <c r="C121">
        <v>2</v>
      </c>
      <c r="D121">
        <v>0</v>
      </c>
      <c r="E121">
        <f>SmtRes!AV120</f>
        <v>0</v>
      </c>
      <c r="F121" t="str">
        <f>SmtRes!I120</f>
        <v>22.1-13-14</v>
      </c>
      <c r="G121" t="str">
        <f>SmtRes!K120</f>
        <v>Установки для сварки ручной дуговой (постоянного тока)</v>
      </c>
      <c r="H121" t="str">
        <f>SmtRes!O120</f>
        <v>маш.-ч</v>
      </c>
      <c r="I121">
        <f>SmtRes!Y120*Source!I76</f>
        <v>1.81</v>
      </c>
      <c r="J121">
        <f>SmtRes!AO120</f>
        <v>1</v>
      </c>
      <c r="K121">
        <f>SmtRes!AF120</f>
        <v>32.82</v>
      </c>
      <c r="L121">
        <f t="shared" si="12"/>
        <v>59.4042</v>
      </c>
      <c r="M121">
        <f>SmtRes!AB120</f>
        <v>32.82</v>
      </c>
      <c r="N121">
        <f t="shared" si="13"/>
        <v>59.4042</v>
      </c>
      <c r="O121">
        <f>SmtRes!X120</f>
        <v>144256025</v>
      </c>
      <c r="P121">
        <v>-1208362683</v>
      </c>
      <c r="Q121">
        <v>-1208362683</v>
      </c>
    </row>
    <row r="122" spans="1:17" ht="12.75">
      <c r="A122">
        <f>Source!A77</f>
        <v>18</v>
      </c>
      <c r="C122">
        <v>3</v>
      </c>
      <c r="D122">
        <f>Source!BI77</f>
        <v>4</v>
      </c>
      <c r="E122">
        <f>Source!FS77</f>
        <v>0</v>
      </c>
      <c r="F122" t="str">
        <f>Source!F77</f>
        <v>цена поставщика Том1. п.18</v>
      </c>
      <c r="G122" t="str">
        <f>Source!G77</f>
        <v>Приточная установка П-1 в комплекте  ECO 160/1-1,2/1-А Shuft цена=36653/1,18=31061,86</v>
      </c>
      <c r="H122" t="str">
        <f>Source!H77</f>
        <v>ШТ</v>
      </c>
      <c r="I122">
        <f>Source!I77</f>
        <v>1</v>
      </c>
      <c r="J122">
        <v>1</v>
      </c>
      <c r="K122">
        <f>Source!AC77</f>
        <v>31061.86</v>
      </c>
      <c r="L122">
        <f>K122*I122</f>
        <v>31061.86</v>
      </c>
      <c r="M122">
        <f>ROUND(Source!FF77/(1+Source!FD77/100),2)</f>
        <v>31061.86</v>
      </c>
      <c r="N122">
        <f>M122*I122</f>
        <v>31061.86</v>
      </c>
      <c r="O122">
        <f>Source!GF77</f>
        <v>515216307</v>
      </c>
      <c r="P122">
        <v>-1545976552</v>
      </c>
      <c r="Q122">
        <v>-1545976552</v>
      </c>
    </row>
    <row r="123" spans="1:17" ht="12.75">
      <c r="A123">
        <f>Source!A78</f>
        <v>17</v>
      </c>
      <c r="C123">
        <v>3</v>
      </c>
      <c r="D123">
        <v>0</v>
      </c>
      <c r="E123">
        <f>SmtRes!AV135</f>
        <v>0</v>
      </c>
      <c r="F123" t="str">
        <f>SmtRes!I135</f>
        <v>21.1-25-305</v>
      </c>
      <c r="G123" t="str">
        <f>SmtRes!K135</f>
        <v>Резина техническая прессованная</v>
      </c>
      <c r="H123" t="str">
        <f>SmtRes!O135</f>
        <v>т</v>
      </c>
      <c r="I123">
        <f>SmtRes!Y135*Source!I78</f>
        <v>0.00056</v>
      </c>
      <c r="J123">
        <f>SmtRes!AO135</f>
        <v>1</v>
      </c>
      <c r="K123">
        <f>SmtRes!AE135</f>
        <v>142669.85</v>
      </c>
      <c r="L123">
        <f>I123*K123</f>
        <v>79.895116</v>
      </c>
      <c r="M123">
        <f>SmtRes!AA135</f>
        <v>142669.85</v>
      </c>
      <c r="N123">
        <f>I123*M123</f>
        <v>79.895116</v>
      </c>
      <c r="O123">
        <f>SmtRes!X135</f>
        <v>218864245</v>
      </c>
      <c r="P123">
        <v>-1557787238</v>
      </c>
      <c r="Q123">
        <v>-1557787238</v>
      </c>
    </row>
    <row r="124" spans="1:17" ht="12.75">
      <c r="A124">
        <f>Source!A78</f>
        <v>17</v>
      </c>
      <c r="C124">
        <v>3</v>
      </c>
      <c r="D124">
        <v>0</v>
      </c>
      <c r="E124">
        <f>SmtRes!AV134</f>
        <v>0</v>
      </c>
      <c r="F124" t="str">
        <f>SmtRes!I134</f>
        <v>21.1-11-21</v>
      </c>
      <c r="G124" t="str">
        <f>SmtRes!K134</f>
        <v>Болты строительные черные с гайками и шайбами (10х100мм)</v>
      </c>
      <c r="H124" t="str">
        <f>SmtRes!O134</f>
        <v>т</v>
      </c>
      <c r="I124">
        <f>SmtRes!Y134*Source!I78</f>
        <v>0.0002</v>
      </c>
      <c r="J124">
        <f>SmtRes!AO134</f>
        <v>1</v>
      </c>
      <c r="K124">
        <f>SmtRes!AE134</f>
        <v>85160.23</v>
      </c>
      <c r="L124">
        <f>I124*K124</f>
        <v>17.032046</v>
      </c>
      <c r="M124">
        <f>SmtRes!AA134</f>
        <v>85160.23</v>
      </c>
      <c r="N124">
        <f>I124*M124</f>
        <v>17.032046</v>
      </c>
      <c r="O124">
        <f>SmtRes!X134</f>
        <v>-441702737</v>
      </c>
      <c r="P124">
        <v>868950196</v>
      </c>
      <c r="Q124">
        <v>868950196</v>
      </c>
    </row>
    <row r="125" spans="1:17" ht="12.75">
      <c r="A125">
        <f>Source!A79</f>
        <v>18</v>
      </c>
      <c r="C125">
        <v>3</v>
      </c>
      <c r="D125">
        <f>Source!BI79</f>
        <v>4</v>
      </c>
      <c r="E125">
        <f>Source!FS79</f>
        <v>0</v>
      </c>
      <c r="F125" t="str">
        <f>Source!F79</f>
        <v>21.19-6-161</v>
      </c>
      <c r="G125" t="str">
        <f>Source!G79</f>
        <v>Клапаны для регулирования воздушных потоков в вентиляционных системах в искробезопасном исполнении из горячекатаной стали, марка АЗЕ 025, сечение 200х200 мм</v>
      </c>
      <c r="H125" t="str">
        <f>Source!H79</f>
        <v>шт.</v>
      </c>
      <c r="I125">
        <f>Source!I79</f>
        <v>1</v>
      </c>
      <c r="J125">
        <v>1</v>
      </c>
      <c r="K125">
        <f>Source!AC79</f>
        <v>3414.5</v>
      </c>
      <c r="L125">
        <f>K125*I125</f>
        <v>3414.5</v>
      </c>
      <c r="M125">
        <f>Source!AC79*IF(Source!BC79&lt;&gt;0,Source!BC79,1)</f>
        <v>3414.5</v>
      </c>
      <c r="N125">
        <f>M125*I125</f>
        <v>3414.5</v>
      </c>
      <c r="O125">
        <f>Source!GF79</f>
        <v>2017593473</v>
      </c>
      <c r="P125">
        <v>333111806</v>
      </c>
      <c r="Q125">
        <v>333111806</v>
      </c>
    </row>
    <row r="126" spans="1:17" ht="12.75">
      <c r="A126">
        <f>Source!A81</f>
        <v>18</v>
      </c>
      <c r="C126">
        <v>3</v>
      </c>
      <c r="D126">
        <f>Source!BI81</f>
        <v>4</v>
      </c>
      <c r="E126">
        <f>Source!FS81</f>
        <v>0</v>
      </c>
      <c r="F126" t="str">
        <f>Source!F81</f>
        <v>21.19-6-207</v>
      </c>
      <c r="G126" t="str">
        <f>Source!G81</f>
        <v>Клапаны обратные для регулирования воздушных потоков в вентиляционных системах из оцинкованной стали, марка КОП, сечение 500х500 мм</v>
      </c>
      <c r="H126" t="str">
        <f>Source!H81</f>
        <v>шт.</v>
      </c>
      <c r="I126">
        <f>Source!I81</f>
        <v>1</v>
      </c>
      <c r="J126">
        <v>1</v>
      </c>
      <c r="K126">
        <f>Source!AC81</f>
        <v>2660.52</v>
      </c>
      <c r="L126">
        <f>K126*I126</f>
        <v>2660.52</v>
      </c>
      <c r="M126">
        <f>Source!AC81*IF(Source!BC81&lt;&gt;0,Source!BC81,1)</f>
        <v>2660.52</v>
      </c>
      <c r="N126">
        <f>M126*I126</f>
        <v>2660.52</v>
      </c>
      <c r="O126">
        <f>Source!GF81</f>
        <v>-1373508520</v>
      </c>
      <c r="P126">
        <v>-1199425507</v>
      </c>
      <c r="Q126">
        <v>-1199425507</v>
      </c>
    </row>
    <row r="127" spans="1:17" ht="12.75">
      <c r="A127">
        <f>Source!A82</f>
        <v>17</v>
      </c>
      <c r="C127">
        <v>3</v>
      </c>
      <c r="D127">
        <v>0</v>
      </c>
      <c r="E127">
        <f>SmtRes!AV142</f>
        <v>0</v>
      </c>
      <c r="F127" t="str">
        <f>SmtRes!I142</f>
        <v>21.1-25-305</v>
      </c>
      <c r="G127" t="str">
        <f>SmtRes!K142</f>
        <v>Резина техническая прессованная</v>
      </c>
      <c r="H127" t="str">
        <f>SmtRes!O142</f>
        <v>т</v>
      </c>
      <c r="I127">
        <f>SmtRes!Y142*Source!I82</f>
        <v>0.00022</v>
      </c>
      <c r="J127">
        <f>SmtRes!AO142</f>
        <v>1</v>
      </c>
      <c r="K127">
        <f>SmtRes!AE142</f>
        <v>142669.85</v>
      </c>
      <c r="L127">
        <f>I127*K127</f>
        <v>31.387367</v>
      </c>
      <c r="M127">
        <f>SmtRes!AA142</f>
        <v>142669.85</v>
      </c>
      <c r="N127">
        <f>I127*M127</f>
        <v>31.387367</v>
      </c>
      <c r="O127">
        <f>SmtRes!X142</f>
        <v>218864245</v>
      </c>
      <c r="P127">
        <v>-1557787238</v>
      </c>
      <c r="Q127">
        <v>-1557787238</v>
      </c>
    </row>
    <row r="128" spans="1:17" ht="12.75">
      <c r="A128">
        <f>Source!A82</f>
        <v>17</v>
      </c>
      <c r="C128">
        <v>3</v>
      </c>
      <c r="D128">
        <v>0</v>
      </c>
      <c r="E128">
        <f>SmtRes!AV141</f>
        <v>0</v>
      </c>
      <c r="F128" t="str">
        <f>SmtRes!I141</f>
        <v>21.1-11-21</v>
      </c>
      <c r="G128" t="str">
        <f>SmtRes!K141</f>
        <v>Болты строительные черные с гайками и шайбами (10х100мм)</v>
      </c>
      <c r="H128" t="str">
        <f>SmtRes!O141</f>
        <v>т</v>
      </c>
      <c r="I128">
        <f>SmtRes!Y141*Source!I82</f>
        <v>7E-05</v>
      </c>
      <c r="J128">
        <f>SmtRes!AO141</f>
        <v>1</v>
      </c>
      <c r="K128">
        <f>SmtRes!AE141</f>
        <v>85160.23</v>
      </c>
      <c r="L128">
        <f>I128*K128</f>
        <v>5.961216099999999</v>
      </c>
      <c r="M128">
        <f>SmtRes!AA141</f>
        <v>85160.23</v>
      </c>
      <c r="N128">
        <f>I128*M128</f>
        <v>5.961216099999999</v>
      </c>
      <c r="O128">
        <f>SmtRes!X141</f>
        <v>-441702737</v>
      </c>
      <c r="P128">
        <v>868950196</v>
      </c>
      <c r="Q128">
        <v>868950196</v>
      </c>
    </row>
    <row r="129" spans="1:17" ht="12.75">
      <c r="A129">
        <f>Source!A82</f>
        <v>17</v>
      </c>
      <c r="C129">
        <v>3</v>
      </c>
      <c r="D129">
        <v>0</v>
      </c>
      <c r="E129">
        <f>SmtRes!AV140</f>
        <v>0</v>
      </c>
      <c r="F129" t="str">
        <f>SmtRes!I140</f>
        <v>21.1-11-13</v>
      </c>
      <c r="G129" t="str">
        <f>SmtRes!K140</f>
        <v>Болты строительные анкерные с гайками</v>
      </c>
      <c r="H129" t="str">
        <f>SmtRes!O140</f>
        <v>т</v>
      </c>
      <c r="I129">
        <f>SmtRes!Y140*Source!I82</f>
        <v>0.0014</v>
      </c>
      <c r="J129">
        <f>SmtRes!AO140</f>
        <v>1</v>
      </c>
      <c r="K129">
        <f>SmtRes!AE140</f>
        <v>116144.67</v>
      </c>
      <c r="L129">
        <f>I129*K129</f>
        <v>162.602538</v>
      </c>
      <c r="M129">
        <f>SmtRes!AA140</f>
        <v>116144.67</v>
      </c>
      <c r="N129">
        <f>I129*M129</f>
        <v>162.602538</v>
      </c>
      <c r="O129">
        <f>SmtRes!X140</f>
        <v>128113571</v>
      </c>
      <c r="P129">
        <v>-876632260</v>
      </c>
      <c r="Q129">
        <v>-876632260</v>
      </c>
    </row>
    <row r="130" spans="1:17" ht="12.75">
      <c r="A130">
        <f>Source!A83</f>
        <v>18</v>
      </c>
      <c r="C130">
        <v>3</v>
      </c>
      <c r="D130">
        <f>Source!BI83</f>
        <v>4</v>
      </c>
      <c r="E130">
        <f>Source!FS83</f>
        <v>0</v>
      </c>
      <c r="F130" t="str">
        <f>Source!F83</f>
        <v>цена поставщика Том1. п19</v>
      </c>
      <c r="G130" t="str">
        <f>Source!G83</f>
        <v>Вентилятор ВР-280-46-2,5(2,0) 2,2 кВт- 3000 об./мин. цена=8994,06/1,18=7622,08</v>
      </c>
      <c r="H130" t="str">
        <f>Source!H83</f>
        <v>ШТ</v>
      </c>
      <c r="I130">
        <f>Source!I83</f>
        <v>1</v>
      </c>
      <c r="J130">
        <v>1</v>
      </c>
      <c r="K130">
        <f>Source!AC83</f>
        <v>7622.08</v>
      </c>
      <c r="L130">
        <f>K130*I130</f>
        <v>7622.08</v>
      </c>
      <c r="M130">
        <f>ROUND(Source!FF83/(1+Source!FD83/100),2)</f>
        <v>7622.08</v>
      </c>
      <c r="N130">
        <f>M130*I130</f>
        <v>7622.08</v>
      </c>
      <c r="O130">
        <f>Source!GF83</f>
        <v>1524000057</v>
      </c>
      <c r="P130">
        <v>-394320156</v>
      </c>
      <c r="Q130">
        <v>-394320156</v>
      </c>
    </row>
    <row r="131" spans="1:7" ht="12.75">
      <c r="A131">
        <f>Source!A111</f>
        <v>4</v>
      </c>
      <c r="B131">
        <v>111</v>
      </c>
      <c r="G131" t="str">
        <f>Source!G111</f>
        <v>Демонтажные работы</v>
      </c>
    </row>
    <row r="132" spans="1:17" ht="12.75">
      <c r="A132">
        <f>Source!A119</f>
        <v>17</v>
      </c>
      <c r="C132">
        <v>3</v>
      </c>
      <c r="D132">
        <v>0</v>
      </c>
      <c r="E132">
        <f>SmtRes!AV151</f>
        <v>0</v>
      </c>
      <c r="F132" t="str">
        <f>SmtRes!I151</f>
        <v>21.19-11-22</v>
      </c>
      <c r="G132" t="str">
        <f>SmtRes!K151</f>
        <v>Решетки вентиляционные стальные штампованные, тип РШ, размеры 200х200 мм</v>
      </c>
      <c r="H132" t="str">
        <f>SmtRes!O151</f>
        <v>шт.</v>
      </c>
      <c r="I132">
        <f>SmtRes!Y151*Source!I119</f>
        <v>18</v>
      </c>
      <c r="J132">
        <f>SmtRes!AO151</f>
        <v>1</v>
      </c>
      <c r="K132">
        <f>SmtRes!AE151</f>
        <v>155.31</v>
      </c>
      <c r="L132">
        <f>I132*K132</f>
        <v>2795.58</v>
      </c>
      <c r="M132">
        <f>SmtRes!AA151</f>
        <v>155.31</v>
      </c>
      <c r="N132">
        <f>I132*M132</f>
        <v>2795.58</v>
      </c>
      <c r="O132">
        <f>SmtRes!X151</f>
        <v>-1603906887</v>
      </c>
      <c r="P132">
        <v>-1132358831</v>
      </c>
      <c r="Q132">
        <v>-1132358831</v>
      </c>
    </row>
    <row r="133" spans="1:17" ht="12.75">
      <c r="A133">
        <f>Source!A119</f>
        <v>17</v>
      </c>
      <c r="C133">
        <v>3</v>
      </c>
      <c r="D133">
        <v>0</v>
      </c>
      <c r="E133">
        <f>SmtRes!AV150</f>
        <v>0</v>
      </c>
      <c r="F133" t="str">
        <f>SmtRes!I150</f>
        <v>21.1-2-2</v>
      </c>
      <c r="G133" t="str">
        <f>SmtRes!K150</f>
        <v>Гипсовые вяжущие (гипс) для штукатурных работ</v>
      </c>
      <c r="H133" t="str">
        <f>SmtRes!O150</f>
        <v>т</v>
      </c>
      <c r="I133">
        <f>SmtRes!Y150*Source!I119</f>
        <v>0.009</v>
      </c>
      <c r="J133">
        <f>SmtRes!AO150</f>
        <v>1</v>
      </c>
      <c r="K133">
        <f>SmtRes!AE150</f>
        <v>3589.54</v>
      </c>
      <c r="L133">
        <f>I133*K133</f>
        <v>32.305859999999996</v>
      </c>
      <c r="M133">
        <f>SmtRes!AA150</f>
        <v>3589.54</v>
      </c>
      <c r="N133">
        <f>I133*M133</f>
        <v>32.305859999999996</v>
      </c>
      <c r="O133">
        <f>SmtRes!X150</f>
        <v>-417247790</v>
      </c>
      <c r="P133">
        <v>-883438365</v>
      </c>
      <c r="Q133">
        <v>-883438365</v>
      </c>
    </row>
    <row r="134" spans="1:7" ht="12.75">
      <c r="A134">
        <f>Source!A148</f>
        <v>4</v>
      </c>
      <c r="B134">
        <v>148</v>
      </c>
      <c r="G134" t="str">
        <f>Source!G148</f>
        <v>Строительные работы</v>
      </c>
    </row>
    <row r="135" spans="1:17" ht="12.75">
      <c r="A135">
        <f>Source!A152</f>
        <v>17</v>
      </c>
      <c r="C135">
        <v>3</v>
      </c>
      <c r="D135">
        <v>0</v>
      </c>
      <c r="E135">
        <f>SmtRes!AV162</f>
        <v>0</v>
      </c>
      <c r="F135" t="str">
        <f>SmtRes!I162</f>
        <v>21.1-6-111</v>
      </c>
      <c r="G135" t="str">
        <f>SmtRes!K162</f>
        <v>Растворители универсальные № 645-650</v>
      </c>
      <c r="H135" t="str">
        <f>SmtRes!O162</f>
        <v>т</v>
      </c>
      <c r="I135">
        <f>SmtRes!Y162*Source!I152</f>
        <v>0.002015</v>
      </c>
      <c r="J135">
        <f>SmtRes!AO162</f>
        <v>1</v>
      </c>
      <c r="K135">
        <f>SmtRes!AE162</f>
        <v>69344.71</v>
      </c>
      <c r="L135">
        <f aca="true" t="shared" si="14" ref="L135:L145">I135*K135</f>
        <v>139.72959065</v>
      </c>
      <c r="M135">
        <f>SmtRes!AA162</f>
        <v>69344.71</v>
      </c>
      <c r="N135">
        <f aca="true" t="shared" si="15" ref="N135:N145">I135*M135</f>
        <v>139.72959065</v>
      </c>
      <c r="O135">
        <f>SmtRes!X162</f>
        <v>146020807</v>
      </c>
      <c r="P135">
        <v>220337430</v>
      </c>
      <c r="Q135">
        <v>220337430</v>
      </c>
    </row>
    <row r="136" spans="1:17" ht="12.75">
      <c r="A136">
        <f>Source!A152</f>
        <v>17</v>
      </c>
      <c r="C136">
        <v>3</v>
      </c>
      <c r="D136">
        <v>0</v>
      </c>
      <c r="E136">
        <f>SmtRes!AV161</f>
        <v>0</v>
      </c>
      <c r="F136" t="str">
        <f>SmtRes!I161</f>
        <v>21.1-25-655</v>
      </c>
      <c r="G136" t="str">
        <f>SmtRes!K161</f>
        <v>Состав огнезащитный, марка "Файрекс-300", для воздуховодов</v>
      </c>
      <c r="H136" t="str">
        <f>SmtRes!O161</f>
        <v>т</v>
      </c>
      <c r="I136">
        <f>SmtRes!Y161*Source!I152</f>
        <v>0.08370000000000001</v>
      </c>
      <c r="J136">
        <f>SmtRes!AO161</f>
        <v>1</v>
      </c>
      <c r="K136">
        <f>SmtRes!AE161</f>
        <v>98147.75</v>
      </c>
      <c r="L136">
        <f t="shared" si="14"/>
        <v>8214.966675000001</v>
      </c>
      <c r="M136">
        <f>SmtRes!AA161</f>
        <v>98147.75</v>
      </c>
      <c r="N136">
        <f t="shared" si="15"/>
        <v>8214.966675000001</v>
      </c>
      <c r="O136">
        <f>SmtRes!X161</f>
        <v>-410359434</v>
      </c>
      <c r="P136">
        <v>-1618416244</v>
      </c>
      <c r="Q136">
        <v>-1618416244</v>
      </c>
    </row>
    <row r="137" spans="1:17" ht="12.75">
      <c r="A137">
        <f>Source!A152</f>
        <v>17</v>
      </c>
      <c r="C137">
        <v>3</v>
      </c>
      <c r="D137">
        <v>0</v>
      </c>
      <c r="E137">
        <f>SmtRes!AV160</f>
        <v>0</v>
      </c>
      <c r="F137" t="str">
        <f>SmtRes!I160</f>
        <v>21.1-25-370</v>
      </c>
      <c r="G137" t="str">
        <f>SmtRes!K160</f>
        <v>Ткани стеклянные конструкционные, марка Т-10</v>
      </c>
      <c r="H137" t="str">
        <f>SmtRes!O160</f>
        <v>м2</v>
      </c>
      <c r="I137">
        <f>SmtRes!Y160*Source!I152</f>
        <v>17.05</v>
      </c>
      <c r="J137">
        <f>SmtRes!AO160</f>
        <v>1</v>
      </c>
      <c r="K137">
        <f>SmtRes!AE160</f>
        <v>162.23</v>
      </c>
      <c r="L137">
        <f t="shared" si="14"/>
        <v>2766.0215</v>
      </c>
      <c r="M137">
        <f>SmtRes!AA160</f>
        <v>162.23</v>
      </c>
      <c r="N137">
        <f t="shared" si="15"/>
        <v>2766.0215</v>
      </c>
      <c r="O137">
        <f>SmtRes!X160</f>
        <v>-809492133</v>
      </c>
      <c r="P137">
        <v>1984642509</v>
      </c>
      <c r="Q137">
        <v>1984642509</v>
      </c>
    </row>
    <row r="138" spans="1:17" ht="12.75">
      <c r="A138">
        <f>Source!A152</f>
        <v>17</v>
      </c>
      <c r="C138">
        <v>3</v>
      </c>
      <c r="D138">
        <v>0</v>
      </c>
      <c r="E138">
        <f>SmtRes!AV159</f>
        <v>0</v>
      </c>
      <c r="F138" t="str">
        <f>SmtRes!I159</f>
        <v>21.1-25-255</v>
      </c>
      <c r="G138" t="str">
        <f>SmtRes!K159</f>
        <v>Пленка полиэтиленовая, толщина 0,12 - 0,15 мм</v>
      </c>
      <c r="H138" t="str">
        <f>SmtRes!O159</f>
        <v>м2</v>
      </c>
      <c r="I138">
        <f>SmtRes!Y159*Source!I152</f>
        <v>37.2</v>
      </c>
      <c r="J138">
        <f>SmtRes!AO159</f>
        <v>1</v>
      </c>
      <c r="K138">
        <f>SmtRes!AE159</f>
        <v>12.61</v>
      </c>
      <c r="L138">
        <f t="shared" si="14"/>
        <v>469.09200000000004</v>
      </c>
      <c r="M138">
        <f>SmtRes!AA159</f>
        <v>12.61</v>
      </c>
      <c r="N138">
        <f t="shared" si="15"/>
        <v>469.09200000000004</v>
      </c>
      <c r="O138">
        <f>SmtRes!X159</f>
        <v>1535195253</v>
      </c>
      <c r="P138">
        <v>-1497362457</v>
      </c>
      <c r="Q138">
        <v>-1497362457</v>
      </c>
    </row>
    <row r="139" spans="1:17" ht="12.75">
      <c r="A139">
        <f>Source!A152</f>
        <v>17</v>
      </c>
      <c r="C139">
        <v>3</v>
      </c>
      <c r="D139">
        <v>0</v>
      </c>
      <c r="E139">
        <f>SmtRes!AV158</f>
        <v>0</v>
      </c>
      <c r="F139" t="str">
        <f>SmtRes!I158</f>
        <v>21.1-25-13</v>
      </c>
      <c r="G139" t="str">
        <f>SmtRes!K158</f>
        <v>Вода</v>
      </c>
      <c r="H139" t="str">
        <f>SmtRes!O158</f>
        <v>м3</v>
      </c>
      <c r="I139">
        <f>SmtRes!Y158*Source!I152</f>
        <v>0.001364</v>
      </c>
      <c r="J139">
        <f>SmtRes!AO158</f>
        <v>1</v>
      </c>
      <c r="K139">
        <f>SmtRes!AE158</f>
        <v>28.77</v>
      </c>
      <c r="L139">
        <f t="shared" si="14"/>
        <v>0.03924228</v>
      </c>
      <c r="M139">
        <f>SmtRes!AA158</f>
        <v>28.77</v>
      </c>
      <c r="N139">
        <f t="shared" si="15"/>
        <v>0.03924228</v>
      </c>
      <c r="O139">
        <f>SmtRes!X158</f>
        <v>-156220903</v>
      </c>
      <c r="P139">
        <v>-1826865761</v>
      </c>
      <c r="Q139">
        <v>-1826865761</v>
      </c>
    </row>
    <row r="140" spans="1:17" ht="12.75">
      <c r="A140">
        <f>Source!A152</f>
        <v>17</v>
      </c>
      <c r="C140">
        <v>3</v>
      </c>
      <c r="D140">
        <v>0</v>
      </c>
      <c r="E140">
        <f>SmtRes!AV157</f>
        <v>0</v>
      </c>
      <c r="F140" t="str">
        <f>SmtRes!I157</f>
        <v>21.1-20-7</v>
      </c>
      <c r="G140" t="str">
        <f>SmtRes!K157</f>
        <v>Ветошь</v>
      </c>
      <c r="H140" t="str">
        <f>SmtRes!O157</f>
        <v>кг</v>
      </c>
      <c r="I140">
        <f>SmtRes!Y157*Source!I152</f>
        <v>1.55</v>
      </c>
      <c r="J140">
        <f>SmtRes!AO157</f>
        <v>1</v>
      </c>
      <c r="K140">
        <f>SmtRes!AE157</f>
        <v>27.91</v>
      </c>
      <c r="L140">
        <f t="shared" si="14"/>
        <v>43.2605</v>
      </c>
      <c r="M140">
        <f>SmtRes!AA157</f>
        <v>27.91</v>
      </c>
      <c r="N140">
        <f t="shared" si="15"/>
        <v>43.2605</v>
      </c>
      <c r="O140">
        <f>SmtRes!X157</f>
        <v>-1474350505</v>
      </c>
      <c r="P140">
        <v>1172434421</v>
      </c>
      <c r="Q140">
        <v>1172434421</v>
      </c>
    </row>
    <row r="141" spans="1:17" ht="12.75">
      <c r="A141">
        <f>Source!A152</f>
        <v>17</v>
      </c>
      <c r="C141">
        <v>2</v>
      </c>
      <c r="D141">
        <v>0</v>
      </c>
      <c r="E141">
        <f>SmtRes!AV156</f>
        <v>0</v>
      </c>
      <c r="F141" t="str">
        <f>SmtRes!I156</f>
        <v>22.1-30-102</v>
      </c>
      <c r="G141" t="str">
        <f>SmtRes!K156</f>
        <v>Дрели электрические, двухскоростные, мощностью 600 Вт</v>
      </c>
      <c r="H141" t="str">
        <f>SmtRes!O156</f>
        <v>маш.-ч</v>
      </c>
      <c r="I141">
        <f>SmtRes!Y156*Source!I152</f>
        <v>1.116</v>
      </c>
      <c r="J141">
        <f>SmtRes!AO156</f>
        <v>1</v>
      </c>
      <c r="K141">
        <f>SmtRes!AF156</f>
        <v>6.05</v>
      </c>
      <c r="L141">
        <f t="shared" si="14"/>
        <v>6.7518</v>
      </c>
      <c r="M141">
        <f>SmtRes!AB156</f>
        <v>6.05</v>
      </c>
      <c r="N141">
        <f t="shared" si="15"/>
        <v>6.7518</v>
      </c>
      <c r="O141">
        <f>SmtRes!X156</f>
        <v>1830593596</v>
      </c>
      <c r="P141">
        <v>-735925214</v>
      </c>
      <c r="Q141">
        <v>-735925214</v>
      </c>
    </row>
    <row r="142" spans="1:17" ht="12.75">
      <c r="A142">
        <f>Source!A152</f>
        <v>17</v>
      </c>
      <c r="C142">
        <v>2</v>
      </c>
      <c r="D142">
        <v>0</v>
      </c>
      <c r="E142">
        <f>SmtRes!AV155</f>
        <v>0</v>
      </c>
      <c r="F142" t="str">
        <f>SmtRes!I155</f>
        <v>22.1-14-1</v>
      </c>
      <c r="G142" t="str">
        <f>SmtRes!K155</f>
        <v>Комплекты вакуумные, для устройства бетонных полов, тип СО-177</v>
      </c>
      <c r="H142" t="str">
        <f>SmtRes!O155</f>
        <v>маш.-ч</v>
      </c>
      <c r="I142">
        <f>SmtRes!Y155*Source!I152</f>
        <v>7.410550000000001</v>
      </c>
      <c r="J142">
        <f>SmtRes!AO155</f>
        <v>1</v>
      </c>
      <c r="K142">
        <f>SmtRes!AF155</f>
        <v>389.94</v>
      </c>
      <c r="L142">
        <f t="shared" si="14"/>
        <v>2889.669867</v>
      </c>
      <c r="M142">
        <f>SmtRes!AB155</f>
        <v>389.94</v>
      </c>
      <c r="N142">
        <f t="shared" si="15"/>
        <v>2889.669867</v>
      </c>
      <c r="O142">
        <f>SmtRes!X155</f>
        <v>203435985</v>
      </c>
      <c r="P142">
        <v>-509363266</v>
      </c>
      <c r="Q142">
        <v>-509363266</v>
      </c>
    </row>
    <row r="143" spans="1:17" ht="12.75">
      <c r="A143">
        <f>Source!A152</f>
        <v>17</v>
      </c>
      <c r="C143">
        <v>2</v>
      </c>
      <c r="D143">
        <v>0</v>
      </c>
      <c r="E143">
        <f>SmtRes!AV154</f>
        <v>0</v>
      </c>
      <c r="F143" t="str">
        <f>SmtRes!I154</f>
        <v>22.1-10-5</v>
      </c>
      <c r="G143" t="str">
        <f>SmtRes!K154</f>
        <v>Компрессоры с дизельным двигателем прицепные до 5 м3/мин</v>
      </c>
      <c r="H143" t="str">
        <f>SmtRes!O154</f>
        <v>маш.-ч</v>
      </c>
      <c r="I143">
        <f>SmtRes!Y154*Source!I152</f>
        <v>7.410550000000001</v>
      </c>
      <c r="J143">
        <f>SmtRes!AO154</f>
        <v>1</v>
      </c>
      <c r="K143">
        <f>SmtRes!AF154</f>
        <v>566.36</v>
      </c>
      <c r="L143">
        <f t="shared" si="14"/>
        <v>4197.039098</v>
      </c>
      <c r="M143">
        <f>SmtRes!AB154</f>
        <v>566.36</v>
      </c>
      <c r="N143">
        <f t="shared" si="15"/>
        <v>4197.039098</v>
      </c>
      <c r="O143">
        <f>SmtRes!X154</f>
        <v>762600024</v>
      </c>
      <c r="P143">
        <v>1220026695</v>
      </c>
      <c r="Q143">
        <v>1220026695</v>
      </c>
    </row>
    <row r="144" spans="1:17" ht="12.75">
      <c r="A144">
        <f>Source!A153</f>
        <v>17</v>
      </c>
      <c r="C144">
        <v>3</v>
      </c>
      <c r="D144">
        <v>0</v>
      </c>
      <c r="E144">
        <f>SmtRes!AV165</f>
        <v>0</v>
      </c>
      <c r="F144" t="str">
        <f>SmtRes!I165</f>
        <v>21.3-2-13</v>
      </c>
      <c r="G144" t="str">
        <f>SmtRes!K165</f>
        <v>Растворы цементные, марка 50</v>
      </c>
      <c r="H144" t="str">
        <f>SmtRes!O165</f>
        <v>м3</v>
      </c>
      <c r="I144">
        <f>SmtRes!Y165*Source!I153</f>
        <v>0.0915</v>
      </c>
      <c r="J144">
        <f>SmtRes!AO165</f>
        <v>1</v>
      </c>
      <c r="K144">
        <f>SmtRes!AE165</f>
        <v>2593.7</v>
      </c>
      <c r="L144">
        <f t="shared" si="14"/>
        <v>237.32354999999998</v>
      </c>
      <c r="M144">
        <f>SmtRes!AA165</f>
        <v>2593.7</v>
      </c>
      <c r="N144">
        <f t="shared" si="15"/>
        <v>237.32354999999998</v>
      </c>
      <c r="O144">
        <f>SmtRes!X165</f>
        <v>-1623564269</v>
      </c>
      <c r="P144">
        <v>-1197852750</v>
      </c>
      <c r="Q144">
        <v>-1197852750</v>
      </c>
    </row>
    <row r="145" spans="1:17" ht="12.75">
      <c r="A145">
        <f>Source!A153</f>
        <v>17</v>
      </c>
      <c r="C145">
        <v>3</v>
      </c>
      <c r="D145">
        <v>0</v>
      </c>
      <c r="E145">
        <f>SmtRes!AV164</f>
        <v>0</v>
      </c>
      <c r="F145" t="str">
        <f>SmtRes!I164</f>
        <v>21.1-2-2</v>
      </c>
      <c r="G145" t="str">
        <f>SmtRes!K164</f>
        <v>Гипсовые вяжущие (гипс) для штукатурных работ</v>
      </c>
      <c r="H145" t="str">
        <f>SmtRes!O164</f>
        <v>т</v>
      </c>
      <c r="I145">
        <f>SmtRes!Y164*Source!I153</f>
        <v>0.5185</v>
      </c>
      <c r="J145">
        <f>SmtRes!AO164</f>
        <v>1</v>
      </c>
      <c r="K145">
        <f>SmtRes!AE164</f>
        <v>3589.54</v>
      </c>
      <c r="L145">
        <f t="shared" si="14"/>
        <v>1861.1764899999998</v>
      </c>
      <c r="M145">
        <f>SmtRes!AA164</f>
        <v>3589.54</v>
      </c>
      <c r="N145">
        <f t="shared" si="15"/>
        <v>1861.1764899999998</v>
      </c>
      <c r="O145">
        <f>SmtRes!X164</f>
        <v>-417247790</v>
      </c>
      <c r="P145">
        <v>-883438365</v>
      </c>
      <c r="Q145">
        <v>-883438365</v>
      </c>
    </row>
    <row r="146" ht="12.75">
      <c r="A146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6" width="12.7109375" style="0" customWidth="1"/>
    <col min="15" max="15" width="103.7109375" style="0" hidden="1" customWidth="1"/>
    <col min="16" max="17" width="0" style="0" hidden="1" customWidth="1"/>
  </cols>
  <sheetData>
    <row r="2" spans="1:15" ht="16.5">
      <c r="A2" s="88" t="s">
        <v>532</v>
      </c>
      <c r="B2" s="89"/>
      <c r="C2" s="89"/>
      <c r="D2" s="89"/>
      <c r="E2" s="89"/>
      <c r="F2" s="89"/>
      <c r="O2" s="58" t="s">
        <v>532</v>
      </c>
    </row>
    <row r="3" spans="1:15" ht="33">
      <c r="A3" s="88" t="str">
        <f>CONCATENATE("Объект: ",IF(Source!G207&lt;&gt;"Новый объект",Source!G207,""))</f>
        <v>Объект: ГБОУ Школа №305" по адресу : проезд Черского, дом 27А  Вентиляция</v>
      </c>
      <c r="B3" s="89"/>
      <c r="C3" s="89"/>
      <c r="D3" s="89"/>
      <c r="E3" s="89"/>
      <c r="F3" s="89"/>
      <c r="O3" s="58" t="s">
        <v>533</v>
      </c>
    </row>
    <row r="4" spans="1:6" ht="12.75">
      <c r="A4" s="74" t="s">
        <v>534</v>
      </c>
      <c r="B4" s="74" t="s">
        <v>535</v>
      </c>
      <c r="C4" s="74" t="s">
        <v>465</v>
      </c>
      <c r="D4" s="74" t="s">
        <v>536</v>
      </c>
      <c r="E4" s="91" t="s">
        <v>537</v>
      </c>
      <c r="F4" s="92"/>
    </row>
    <row r="5" spans="1:6" ht="12.75">
      <c r="A5" s="75"/>
      <c r="B5" s="75"/>
      <c r="C5" s="75"/>
      <c r="D5" s="75"/>
      <c r="E5" s="93"/>
      <c r="F5" s="94"/>
    </row>
    <row r="6" spans="1:6" ht="14.25">
      <c r="A6" s="90"/>
      <c r="B6" s="90"/>
      <c r="C6" s="90"/>
      <c r="D6" s="90"/>
      <c r="E6" s="24" t="s">
        <v>538</v>
      </c>
      <c r="F6" s="24" t="s">
        <v>539</v>
      </c>
    </row>
    <row r="7" spans="1:6" ht="14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</row>
    <row r="8" spans="1:15" ht="16.5">
      <c r="A8" s="88" t="str">
        <f>CONCATENATE("Локальная смета: ",IF(Source!G22&lt;&gt;"Новая локальная смета",Source!G22,""))</f>
        <v>Локальная смета: </v>
      </c>
      <c r="B8" s="89"/>
      <c r="C8" s="89"/>
      <c r="D8" s="89"/>
      <c r="E8" s="89"/>
      <c r="F8" s="89"/>
      <c r="O8" s="58" t="s">
        <v>540</v>
      </c>
    </row>
    <row r="9" spans="1:15" ht="16.5">
      <c r="A9" s="88" t="str">
        <f>CONCATENATE("Раздел: ",IF(Source!G26&lt;&gt;"Новый раздел",Source!G26,""))</f>
        <v>Раздел: Монтажные работы</v>
      </c>
      <c r="B9" s="89"/>
      <c r="C9" s="89"/>
      <c r="D9" s="89"/>
      <c r="E9" s="89"/>
      <c r="F9" s="89"/>
      <c r="O9" s="58" t="s">
        <v>541</v>
      </c>
    </row>
    <row r="10" spans="1:6" ht="14.25">
      <c r="A10" s="95" t="s">
        <v>542</v>
      </c>
      <c r="B10" s="96"/>
      <c r="C10" s="96"/>
      <c r="D10" s="96"/>
      <c r="E10" s="96"/>
      <c r="F10" s="96"/>
    </row>
    <row r="11" spans="1:17" ht="28.5">
      <c r="A11" s="59" t="s">
        <v>297</v>
      </c>
      <c r="B11" s="51" t="s">
        <v>299</v>
      </c>
      <c r="C11" s="51" t="s">
        <v>300</v>
      </c>
      <c r="D11" s="52">
        <f>ROUND(SUMIF(RV_DATA!P8:RV_DATA!P130,-1208362683,RV_DATA!I8:RV_DATA!I130),6)</f>
        <v>33.62592</v>
      </c>
      <c r="E11" s="60">
        <f>SmtRes!AF5</f>
        <v>32.82</v>
      </c>
      <c r="F11" s="60">
        <f>ROUND(SUMIF(RV_DATA!P8:RV_DATA!P130,-1208362683,RV_DATA!L8:RV_DATA!L130),6)</f>
        <v>1103.602694</v>
      </c>
      <c r="Q11">
        <v>2</v>
      </c>
    </row>
    <row r="12" spans="1:17" ht="57">
      <c r="A12" s="59" t="s">
        <v>335</v>
      </c>
      <c r="B12" s="51" t="s">
        <v>337</v>
      </c>
      <c r="C12" s="51" t="s">
        <v>300</v>
      </c>
      <c r="D12" s="52">
        <f>ROUND(SUMIF(RV_DATA!P8:RV_DATA!P130,1751598180,RV_DATA!I8:RV_DATA!I130),6)</f>
        <v>0.002424</v>
      </c>
      <c r="E12" s="60">
        <f>SmtRes!AF27</f>
        <v>46.29</v>
      </c>
      <c r="F12" s="60">
        <f>ROUND(SUMIF(RV_DATA!P8:RV_DATA!P130,1751598180,RV_DATA!L8:RV_DATA!L130),6)</f>
        <v>0.112207</v>
      </c>
      <c r="Q12">
        <v>2</v>
      </c>
    </row>
    <row r="13" spans="1:17" ht="28.5">
      <c r="A13" s="59" t="s">
        <v>301</v>
      </c>
      <c r="B13" s="51" t="s">
        <v>303</v>
      </c>
      <c r="C13" s="51" t="s">
        <v>300</v>
      </c>
      <c r="D13" s="52">
        <f>ROUND(SUMIF(RV_DATA!P8:RV_DATA!P130,-735925214,RV_DATA!I8:RV_DATA!I130),6)</f>
        <v>69.36</v>
      </c>
      <c r="E13" s="60">
        <f>SmtRes!AF6</f>
        <v>6.05</v>
      </c>
      <c r="F13" s="60">
        <f>ROUND(SUMIF(RV_DATA!P8:RV_DATA!P130,-735925214,RV_DATA!L8:RV_DATA!L130),6)</f>
        <v>419.628</v>
      </c>
      <c r="Q13">
        <v>2</v>
      </c>
    </row>
    <row r="14" spans="1:17" ht="28.5">
      <c r="A14" s="59" t="s">
        <v>338</v>
      </c>
      <c r="B14" s="51" t="s">
        <v>340</v>
      </c>
      <c r="C14" s="51" t="s">
        <v>300</v>
      </c>
      <c r="D14" s="52">
        <f>ROUND(SUMIF(RV_DATA!P8:RV_DATA!P130,882167159,RV_DATA!I8:RV_DATA!I130),6)</f>
        <v>0.028785</v>
      </c>
      <c r="E14" s="60">
        <f>SmtRes!AF28</f>
        <v>23.13</v>
      </c>
      <c r="F14" s="60">
        <f>ROUND(SUMIF(RV_DATA!P8:RV_DATA!P130,882167159,RV_DATA!L8:RV_DATA!L130),6)</f>
        <v>0.665797</v>
      </c>
      <c r="Q14">
        <v>2</v>
      </c>
    </row>
    <row r="15" spans="1:17" ht="28.5">
      <c r="A15" s="59" t="s">
        <v>341</v>
      </c>
      <c r="B15" s="51" t="s">
        <v>343</v>
      </c>
      <c r="C15" s="51" t="s">
        <v>300</v>
      </c>
      <c r="D15" s="52">
        <f>ROUND(SUMIF(RV_DATA!P8:RV_DATA!P130,1112045192,RV_DATA!I8:RV_DATA!I130),6)</f>
        <v>0.48972</v>
      </c>
      <c r="E15" s="60">
        <f>SmtRes!AF33</f>
        <v>28.36</v>
      </c>
      <c r="F15" s="60">
        <f>ROUND(SUMIF(RV_DATA!P8:RV_DATA!P130,1112045192,RV_DATA!L8:RV_DATA!L130),6)</f>
        <v>13.888459</v>
      </c>
      <c r="Q15">
        <v>2</v>
      </c>
    </row>
    <row r="16" spans="1:6" ht="15">
      <c r="A16" s="97" t="s">
        <v>543</v>
      </c>
      <c r="B16" s="97"/>
      <c r="C16" s="97"/>
      <c r="D16" s="97"/>
      <c r="E16" s="98">
        <f>SUMIF(Q11:Q15,2,F11:F15)</f>
        <v>1537.8971569999999</v>
      </c>
      <c r="F16" s="98"/>
    </row>
    <row r="17" spans="1:6" ht="14.25">
      <c r="A17" s="95" t="s">
        <v>544</v>
      </c>
      <c r="B17" s="96"/>
      <c r="C17" s="96"/>
      <c r="D17" s="96"/>
      <c r="E17" s="96"/>
      <c r="F17" s="96"/>
    </row>
    <row r="18" spans="1:17" ht="42.75">
      <c r="A18" s="59" t="s">
        <v>294</v>
      </c>
      <c r="B18" s="51" t="s">
        <v>295</v>
      </c>
      <c r="C18" s="51" t="s">
        <v>296</v>
      </c>
      <c r="D18" s="52">
        <f>ROUND(SUMIF(RV_DATA!P8:RV_DATA!P130,1055448766,RV_DATA!I8:RV_DATA!I130),6)</f>
        <v>18.6</v>
      </c>
      <c r="E18" s="60">
        <f>SmtRes!AE2</f>
        <v>6.785</v>
      </c>
      <c r="F18" s="60">
        <f>ROUND(SUMIF(RV_DATA!P8:RV_DATA!P130,1055448766,RV_DATA!L8:RV_DATA!L130),6)</f>
        <v>126.201</v>
      </c>
      <c r="Q18">
        <v>3</v>
      </c>
    </row>
    <row r="19" spans="1:17" ht="28.5">
      <c r="A19" s="59" t="s">
        <v>364</v>
      </c>
      <c r="B19" s="51" t="s">
        <v>366</v>
      </c>
      <c r="C19" s="51" t="s">
        <v>67</v>
      </c>
      <c r="D19" s="52">
        <f>ROUND(SUMIF(RV_DATA!P8:RV_DATA!P130,-876632260,RV_DATA!I8:RV_DATA!I130),6)</f>
        <v>0.00236</v>
      </c>
      <c r="E19" s="60">
        <f>SmtRes!AE121</f>
        <v>116144.67</v>
      </c>
      <c r="F19" s="60">
        <f>ROUND(SUMIF(RV_DATA!P8:RV_DATA!P130,-876632260,RV_DATA!L8:RV_DATA!L130),6)</f>
        <v>274.101421</v>
      </c>
      <c r="Q19">
        <v>3</v>
      </c>
    </row>
    <row r="20" spans="1:17" ht="28.5">
      <c r="A20" s="59" t="s">
        <v>314</v>
      </c>
      <c r="B20" s="51" t="s">
        <v>316</v>
      </c>
      <c r="C20" s="51" t="s">
        <v>67</v>
      </c>
      <c r="D20" s="52">
        <f>ROUND(SUMIF(RV_DATA!P8:RV_DATA!P130,868950196,RV_DATA!I8:RV_DATA!I130),6)</f>
        <v>0.044147</v>
      </c>
      <c r="E20" s="60">
        <f>SmtRes!AE18</f>
        <v>85160.23</v>
      </c>
      <c r="F20" s="60">
        <f>ROUND(SUMIF(RV_DATA!P8:RV_DATA!P130,868950196,RV_DATA!L8:RV_DATA!L130),6)</f>
        <v>3759.568674</v>
      </c>
      <c r="Q20">
        <v>3</v>
      </c>
    </row>
    <row r="21" spans="1:17" ht="57">
      <c r="A21" s="59" t="s">
        <v>344</v>
      </c>
      <c r="B21" s="51" t="s">
        <v>346</v>
      </c>
      <c r="C21" s="51" t="s">
        <v>67</v>
      </c>
      <c r="D21" s="52">
        <f>ROUND(SUMIF(RV_DATA!P8:RV_DATA!P130,-1002298298,RV_DATA!I8:RV_DATA!I130),6)</f>
        <v>0.005963</v>
      </c>
      <c r="E21" s="60">
        <f>SmtRes!AE35</f>
        <v>18733.8</v>
      </c>
      <c r="F21" s="60">
        <f>ROUND(SUMIF(RV_DATA!P8:RV_DATA!P130,-1002298298,RV_DATA!L8:RV_DATA!L130),6)</f>
        <v>111.703093</v>
      </c>
      <c r="Q21">
        <v>3</v>
      </c>
    </row>
    <row r="22" spans="1:17" ht="14.25">
      <c r="A22" s="59" t="s">
        <v>367</v>
      </c>
      <c r="B22" s="51" t="s">
        <v>369</v>
      </c>
      <c r="C22" s="51" t="s">
        <v>67</v>
      </c>
      <c r="D22" s="52">
        <f>ROUND(SUMIF(RV_DATA!P8:RV_DATA!P130,1774448769,RV_DATA!I8:RV_DATA!I130),6)</f>
        <v>0.00018</v>
      </c>
      <c r="E22" s="60">
        <f>SmtRes!AE123</f>
        <v>99698.6</v>
      </c>
      <c r="F22" s="60">
        <f>ROUND(SUMIF(RV_DATA!P8:RV_DATA!P130,1774448769,RV_DATA!L8:RV_DATA!L130),6)</f>
        <v>17.945748</v>
      </c>
      <c r="Q22">
        <v>3</v>
      </c>
    </row>
    <row r="23" spans="1:17" ht="57">
      <c r="A23" s="59" t="s">
        <v>134</v>
      </c>
      <c r="B23" s="51" t="s">
        <v>135</v>
      </c>
      <c r="C23" s="51" t="s">
        <v>85</v>
      </c>
      <c r="D23" s="52">
        <f>ROUND(SUMIF(RV_DATA!P8:RV_DATA!P130,-1479643867,RV_DATA!I8:RV_DATA!I130),6)</f>
        <v>26.88</v>
      </c>
      <c r="E23" s="60">
        <f>Source!AC60</f>
        <v>1021.98</v>
      </c>
      <c r="F23" s="60">
        <f>ROUND(SUMIF(RV_DATA!P8:RV_DATA!P130,-1479643867,RV_DATA!L8:RV_DATA!L130),6)</f>
        <v>27470.8224</v>
      </c>
      <c r="Q23">
        <v>3</v>
      </c>
    </row>
    <row r="24" spans="1:17" ht="85.5">
      <c r="A24" s="59" t="s">
        <v>370</v>
      </c>
      <c r="B24" s="51" t="s">
        <v>372</v>
      </c>
      <c r="C24" s="51" t="s">
        <v>58</v>
      </c>
      <c r="D24" s="52">
        <f>ROUND(SUMIF(RV_DATA!P8:RV_DATA!P130,1122558064,RV_DATA!I8:RV_DATA!I130),6)</f>
        <v>3</v>
      </c>
      <c r="E24" s="60">
        <f>SmtRes!AE124</f>
        <v>109.91</v>
      </c>
      <c r="F24" s="60">
        <f>ROUND(SUMIF(RV_DATA!P8:RV_DATA!P130,1122558064,RV_DATA!L8:RV_DATA!L130),6)</f>
        <v>329.73</v>
      </c>
      <c r="Q24">
        <v>3</v>
      </c>
    </row>
    <row r="25" spans="1:17" ht="28.5">
      <c r="A25" s="59" t="s">
        <v>373</v>
      </c>
      <c r="B25" s="51" t="s">
        <v>375</v>
      </c>
      <c r="C25" s="51" t="s">
        <v>85</v>
      </c>
      <c r="D25" s="52">
        <f>ROUND(SUMIF(RV_DATA!P8:RV_DATA!P130,1930148253,RV_DATA!I8:RV_DATA!I130),6)</f>
        <v>0.095</v>
      </c>
      <c r="E25" s="60">
        <f>SmtRes!AE125</f>
        <v>32.4</v>
      </c>
      <c r="F25" s="60">
        <f>ROUND(SUMIF(RV_DATA!P8:RV_DATA!P130,1930148253,RV_DATA!L8:RV_DATA!L130),6)</f>
        <v>3.078</v>
      </c>
      <c r="Q25">
        <v>3</v>
      </c>
    </row>
    <row r="26" spans="1:17" ht="14.25">
      <c r="A26" s="59" t="s">
        <v>304</v>
      </c>
      <c r="B26" s="51" t="s">
        <v>306</v>
      </c>
      <c r="C26" s="51" t="s">
        <v>67</v>
      </c>
      <c r="D26" s="52">
        <f>ROUND(SUMIF(RV_DATA!P8:RV_DATA!P130,349305125,RV_DATA!I8:RV_DATA!I130),6)</f>
        <v>0.028808</v>
      </c>
      <c r="E26" s="60">
        <f>SmtRes!AE7</f>
        <v>109898.69</v>
      </c>
      <c r="F26" s="60">
        <f>ROUND(SUMIF(RV_DATA!P8:RV_DATA!P130,349305125,RV_DATA!L8:RV_DATA!L130),6)</f>
        <v>3165.980144</v>
      </c>
      <c r="Q26">
        <v>3</v>
      </c>
    </row>
    <row r="27" spans="1:17" ht="28.5">
      <c r="A27" s="59" t="s">
        <v>317</v>
      </c>
      <c r="B27" s="51" t="s">
        <v>319</v>
      </c>
      <c r="C27" s="51" t="s">
        <v>67</v>
      </c>
      <c r="D27" s="52">
        <f>ROUND(SUMIF(RV_DATA!P8:RV_DATA!P130,41259102,RV_DATA!I8:RV_DATA!I130),6)</f>
        <v>0.000411</v>
      </c>
      <c r="E27" s="60">
        <f>SmtRes!AE19</f>
        <v>117957.19</v>
      </c>
      <c r="F27" s="60">
        <f>ROUND(SUMIF(RV_DATA!P8:RV_DATA!P130,41259102,RV_DATA!L8:RV_DATA!L130),6)</f>
        <v>48.505176</v>
      </c>
      <c r="Q27">
        <v>3</v>
      </c>
    </row>
    <row r="28" spans="1:17" ht="42.75">
      <c r="A28" s="59" t="s">
        <v>350</v>
      </c>
      <c r="B28" s="51" t="s">
        <v>352</v>
      </c>
      <c r="C28" s="51" t="s">
        <v>296</v>
      </c>
      <c r="D28" s="52">
        <f>ROUND(SUMIF(RV_DATA!P8:RV_DATA!P130,372580928,RV_DATA!I8:RV_DATA!I130),6)</f>
        <v>51.2</v>
      </c>
      <c r="E28" s="60">
        <f>SmtRes!AE79</f>
        <v>36.72</v>
      </c>
      <c r="F28" s="60">
        <f>ROUND(SUMIF(RV_DATA!P8:RV_DATA!P130,372580928,RV_DATA!L8:RV_DATA!L130),6)</f>
        <v>1880.064</v>
      </c>
      <c r="Q28">
        <v>3</v>
      </c>
    </row>
    <row r="29" spans="1:17" ht="42.75">
      <c r="A29" s="59" t="s">
        <v>376</v>
      </c>
      <c r="B29" s="51" t="s">
        <v>378</v>
      </c>
      <c r="C29" s="51" t="s">
        <v>140</v>
      </c>
      <c r="D29" s="52">
        <f>ROUND(SUMIF(RV_DATA!P8:RV_DATA!P130,1242886366,RV_DATA!I8:RV_DATA!I130),6)</f>
        <v>0.15</v>
      </c>
      <c r="E29" s="60">
        <f>SmtRes!AE127</f>
        <v>215.01</v>
      </c>
      <c r="F29" s="60">
        <f>ROUND(SUMIF(RV_DATA!P8:RV_DATA!P130,1242886366,RV_DATA!L8:RV_DATA!L130),6)</f>
        <v>32.2515</v>
      </c>
      <c r="Q29">
        <v>3</v>
      </c>
    </row>
    <row r="30" spans="1:17" ht="14.25">
      <c r="A30" s="59" t="s">
        <v>320</v>
      </c>
      <c r="B30" s="51" t="s">
        <v>322</v>
      </c>
      <c r="C30" s="51" t="s">
        <v>67</v>
      </c>
      <c r="D30" s="52">
        <f>ROUND(SUMIF(RV_DATA!P8:RV_DATA!P130,-1557787238,RV_DATA!I8:RV_DATA!I130),6)</f>
        <v>0.016763</v>
      </c>
      <c r="E30" s="60">
        <f>SmtRes!AE20</f>
        <v>142669.85</v>
      </c>
      <c r="F30" s="60">
        <f>ROUND(SUMIF(RV_DATA!P8:RV_DATA!P130,-1557787238,RV_DATA!L8:RV_DATA!L130),6)</f>
        <v>2391.594669</v>
      </c>
      <c r="Q30">
        <v>3</v>
      </c>
    </row>
    <row r="31" spans="1:17" ht="28.5">
      <c r="A31" s="59" t="s">
        <v>347</v>
      </c>
      <c r="B31" s="51" t="s">
        <v>349</v>
      </c>
      <c r="C31" s="51" t="s">
        <v>67</v>
      </c>
      <c r="D31" s="52">
        <f>ROUND(SUMIF(RV_DATA!P8:RV_DATA!P130,958453475,RV_DATA!I8:RV_DATA!I130),6)</f>
        <v>0.001466</v>
      </c>
      <c r="E31" s="60">
        <f>SmtRes!AE38</f>
        <v>165838.61</v>
      </c>
      <c r="F31" s="60">
        <f>ROUND(SUMIF(RV_DATA!P8:RV_DATA!P130,958453475,RV_DATA!L8:RV_DATA!L130),6)</f>
        <v>243.137645</v>
      </c>
      <c r="Q31">
        <v>3</v>
      </c>
    </row>
    <row r="32" spans="1:17" ht="14.25">
      <c r="A32" s="59" t="s">
        <v>138</v>
      </c>
      <c r="B32" s="51" t="s">
        <v>139</v>
      </c>
      <c r="C32" s="51" t="s">
        <v>140</v>
      </c>
      <c r="D32" s="52">
        <f>ROUND(SUMIF(RV_DATA!P8:RV_DATA!P130,-1889970639,RV_DATA!I8:RV_DATA!I130),6)</f>
        <v>5.12</v>
      </c>
      <c r="E32" s="60">
        <f>Source!AC61</f>
        <v>252.32</v>
      </c>
      <c r="F32" s="60">
        <f>ROUND(SUMIF(RV_DATA!P8:RV_DATA!P130,-1889970639,RV_DATA!L8:RV_DATA!L130),6)</f>
        <v>1291.8784</v>
      </c>
      <c r="Q32">
        <v>3</v>
      </c>
    </row>
    <row r="33" spans="1:17" ht="71.25">
      <c r="A33" s="59" t="s">
        <v>323</v>
      </c>
      <c r="B33" s="51" t="s">
        <v>325</v>
      </c>
      <c r="C33" s="51" t="s">
        <v>17</v>
      </c>
      <c r="D33" s="52">
        <f>ROUND(SUMIF(RV_DATA!P8:RV_DATA!P130,7356966,RV_DATA!I8:RV_DATA!I130),6)</f>
        <v>1</v>
      </c>
      <c r="E33" s="60">
        <f>SmtRes!AE21</f>
        <v>131.99</v>
      </c>
      <c r="F33" s="60">
        <f>ROUND(SUMIF(RV_DATA!P8:RV_DATA!P130,7356966,RV_DATA!L8:RV_DATA!L130),6)</f>
        <v>131.99</v>
      </c>
      <c r="Q33">
        <v>3</v>
      </c>
    </row>
    <row r="34" spans="1:17" ht="71.25">
      <c r="A34" s="59" t="s">
        <v>326</v>
      </c>
      <c r="B34" s="51" t="s">
        <v>328</v>
      </c>
      <c r="C34" s="51" t="s">
        <v>17</v>
      </c>
      <c r="D34" s="52">
        <f>ROUND(SUMIF(RV_DATA!P8:RV_DATA!P130,624526313,RV_DATA!I8:RV_DATA!I130),6)</f>
        <v>1</v>
      </c>
      <c r="E34" s="60">
        <f>SmtRes!AE22</f>
        <v>152.4</v>
      </c>
      <c r="F34" s="60">
        <f>ROUND(SUMIF(RV_DATA!P8:RV_DATA!P130,624526313,RV_DATA!L8:RV_DATA!L130),6)</f>
        <v>152.4</v>
      </c>
      <c r="Q34">
        <v>3</v>
      </c>
    </row>
    <row r="35" spans="1:17" ht="57">
      <c r="A35" s="59" t="s">
        <v>353</v>
      </c>
      <c r="B35" s="51" t="s">
        <v>355</v>
      </c>
      <c r="C35" s="51" t="s">
        <v>356</v>
      </c>
      <c r="D35" s="52">
        <f>ROUND(SUMIF(RV_DATA!P8:RV_DATA!P130,1661665930,RV_DATA!I8:RV_DATA!I130),6)</f>
        <v>6.4</v>
      </c>
      <c r="E35" s="60">
        <f>SmtRes!AE81</f>
        <v>1212.9</v>
      </c>
      <c r="F35" s="60">
        <f>ROUND(SUMIF(RV_DATA!P8:RV_DATA!P130,1661665930,RV_DATA!L8:RV_DATA!L130),6)</f>
        <v>7762.56</v>
      </c>
      <c r="Q35">
        <v>3</v>
      </c>
    </row>
    <row r="36" spans="1:17" ht="71.25">
      <c r="A36" s="59" t="s">
        <v>379</v>
      </c>
      <c r="B36" s="51" t="s">
        <v>381</v>
      </c>
      <c r="C36" s="51" t="s">
        <v>67</v>
      </c>
      <c r="D36" s="52">
        <f>ROUND(SUMIF(RV_DATA!P8:RV_DATA!P130,1538281917,RV_DATA!I8:RV_DATA!I130),6)</f>
        <v>0.00038</v>
      </c>
      <c r="E36" s="60">
        <f>SmtRes!AE129</f>
        <v>66844.36</v>
      </c>
      <c r="F36" s="60">
        <f>ROUND(SUMIF(RV_DATA!P8:RV_DATA!P130,1538281917,RV_DATA!L8:RV_DATA!L130),6)</f>
        <v>25.400857</v>
      </c>
      <c r="Q36">
        <v>3</v>
      </c>
    </row>
    <row r="37" spans="1:17" ht="28.5">
      <c r="A37" s="59" t="s">
        <v>382</v>
      </c>
      <c r="B37" s="51" t="s">
        <v>384</v>
      </c>
      <c r="C37" s="51" t="s">
        <v>140</v>
      </c>
      <c r="D37" s="52">
        <f>ROUND(SUMIF(RV_DATA!P8:RV_DATA!P130,-1619101813,RV_DATA!I8:RV_DATA!I130),6)</f>
        <v>0.045</v>
      </c>
      <c r="E37" s="60">
        <f>SmtRes!AE130</f>
        <v>55.6</v>
      </c>
      <c r="F37" s="60">
        <f>ROUND(SUMIF(RV_DATA!P8:RV_DATA!P130,-1619101813,RV_DATA!L8:RV_DATA!L130),6)</f>
        <v>2.502</v>
      </c>
      <c r="Q37">
        <v>3</v>
      </c>
    </row>
    <row r="38" spans="1:17" ht="71.25">
      <c r="A38" s="59" t="s">
        <v>117</v>
      </c>
      <c r="B38" s="51" t="s">
        <v>118</v>
      </c>
      <c r="C38" s="51" t="s">
        <v>17</v>
      </c>
      <c r="D38" s="52">
        <f>ROUND(SUMIF(RV_DATA!P8:RV_DATA!P130,-663553972,RV_DATA!I8:RV_DATA!I130),6)</f>
        <v>3</v>
      </c>
      <c r="E38" s="60">
        <f>Source!AC52</f>
        <v>3423.7</v>
      </c>
      <c r="F38" s="60">
        <f>ROUND(SUMIF(RV_DATA!P8:RV_DATA!P130,-663553972,RV_DATA!L8:RV_DATA!L130),6)</f>
        <v>10271.1</v>
      </c>
      <c r="Q38">
        <v>3</v>
      </c>
    </row>
    <row r="39" spans="1:17" ht="71.25">
      <c r="A39" s="59" t="s">
        <v>79</v>
      </c>
      <c r="B39" s="51" t="s">
        <v>80</v>
      </c>
      <c r="C39" s="51" t="s">
        <v>17</v>
      </c>
      <c r="D39" s="52">
        <f>ROUND(SUMIF(RV_DATA!P8:RV_DATA!P130,-254319410,RV_DATA!I8:RV_DATA!I130),6)</f>
        <v>12</v>
      </c>
      <c r="E39" s="60">
        <f>Source!AC42</f>
        <v>1136.98</v>
      </c>
      <c r="F39" s="60">
        <f>ROUND(SUMIF(RV_DATA!P8:RV_DATA!P130,-254319410,RV_DATA!L8:RV_DATA!L130),6)</f>
        <v>13643.76</v>
      </c>
      <c r="Q39">
        <v>3</v>
      </c>
    </row>
    <row r="40" spans="1:17" ht="71.25">
      <c r="A40" s="59" t="s">
        <v>104</v>
      </c>
      <c r="B40" s="51" t="s">
        <v>105</v>
      </c>
      <c r="C40" s="51" t="s">
        <v>17</v>
      </c>
      <c r="D40" s="52">
        <f>ROUND(SUMIF(RV_DATA!P8:RV_DATA!P130,1481503423,RV_DATA!I8:RV_DATA!I130),6)</f>
        <v>6</v>
      </c>
      <c r="E40" s="60">
        <f>Source!AC48</f>
        <v>1422.48</v>
      </c>
      <c r="F40" s="60">
        <f>ROUND(SUMIF(RV_DATA!P8:RV_DATA!P130,1481503423,RV_DATA!L8:RV_DATA!L130),6)</f>
        <v>8534.88</v>
      </c>
      <c r="Q40">
        <v>3</v>
      </c>
    </row>
    <row r="41" spans="1:17" ht="57">
      <c r="A41" s="59" t="s">
        <v>32</v>
      </c>
      <c r="B41" s="51" t="s">
        <v>33</v>
      </c>
      <c r="C41" s="51" t="s">
        <v>17</v>
      </c>
      <c r="D41" s="52">
        <f>ROUND(SUMIF(RV_DATA!P8:RV_DATA!P130,-551632923,RV_DATA!I8:RV_DATA!I130),6)</f>
        <v>60</v>
      </c>
      <c r="E41" s="60">
        <f>Source!AC31</f>
        <v>927.5</v>
      </c>
      <c r="F41" s="60">
        <f>ROUND(SUMIF(RV_DATA!P8:RV_DATA!P130,-551632923,RV_DATA!L8:RV_DATA!L130),6)</f>
        <v>55650</v>
      </c>
      <c r="Q41">
        <v>3</v>
      </c>
    </row>
    <row r="42" spans="1:17" ht="57">
      <c r="A42" s="59" t="s">
        <v>36</v>
      </c>
      <c r="B42" s="51" t="s">
        <v>37</v>
      </c>
      <c r="C42" s="51" t="s">
        <v>17</v>
      </c>
      <c r="D42" s="52">
        <f>ROUND(SUMIF(RV_DATA!P8:RV_DATA!P130,1836051098,RV_DATA!I8:RV_DATA!I130),6)</f>
        <v>130</v>
      </c>
      <c r="E42" s="60">
        <f>Source!AC32</f>
        <v>559.21</v>
      </c>
      <c r="F42" s="60">
        <f>ROUND(SUMIF(RV_DATA!P8:RV_DATA!P130,1836051098,RV_DATA!L8:RV_DATA!L130),6)</f>
        <v>72697.3</v>
      </c>
      <c r="Q42">
        <v>3</v>
      </c>
    </row>
    <row r="43" spans="1:17" ht="42.75">
      <c r="A43" s="59" t="s">
        <v>44</v>
      </c>
      <c r="B43" s="51" t="s">
        <v>45</v>
      </c>
      <c r="C43" s="51" t="s">
        <v>17</v>
      </c>
      <c r="D43" s="52">
        <f>ROUND(SUMIF(RV_DATA!P8:RV_DATA!P130,-150952058,RV_DATA!I8:RV_DATA!I130),6)</f>
        <v>1</v>
      </c>
      <c r="E43" s="60">
        <f>Source!AC34</f>
        <v>328.69</v>
      </c>
      <c r="F43" s="60">
        <f>ROUND(SUMIF(RV_DATA!P8:RV_DATA!P130,-150952058,RV_DATA!L8:RV_DATA!L130),6)</f>
        <v>328.69</v>
      </c>
      <c r="Q43">
        <v>3</v>
      </c>
    </row>
    <row r="44" spans="1:17" ht="42.75">
      <c r="A44" s="59" t="s">
        <v>52</v>
      </c>
      <c r="B44" s="51" t="s">
        <v>53</v>
      </c>
      <c r="C44" s="51" t="s">
        <v>17</v>
      </c>
      <c r="D44" s="52">
        <f>ROUND(SUMIF(RV_DATA!P8:RV_DATA!P130,-1258785657,RV_DATA!I8:RV_DATA!I130),6)</f>
        <v>1</v>
      </c>
      <c r="E44" s="60">
        <f>Source!AC36</f>
        <v>425.16</v>
      </c>
      <c r="F44" s="60">
        <f>ROUND(SUMIF(RV_DATA!P8:RV_DATA!P130,-1258785657,RV_DATA!L8:RV_DATA!L130),6)</f>
        <v>425.16</v>
      </c>
      <c r="Q44">
        <v>3</v>
      </c>
    </row>
    <row r="45" spans="1:17" ht="42.75">
      <c r="A45" s="59" t="s">
        <v>40</v>
      </c>
      <c r="B45" s="51" t="s">
        <v>41</v>
      </c>
      <c r="C45" s="51" t="s">
        <v>17</v>
      </c>
      <c r="D45" s="52">
        <f>ROUND(SUMIF(RV_DATA!P8:RV_DATA!P130,1864930959,RV_DATA!I8:RV_DATA!I130),6)</f>
        <v>4</v>
      </c>
      <c r="E45" s="60">
        <f>Source!AC33</f>
        <v>443.31</v>
      </c>
      <c r="F45" s="60">
        <f>ROUND(SUMIF(RV_DATA!P8:RV_DATA!P130,1864930959,RV_DATA!L8:RV_DATA!L130),6)</f>
        <v>1773.24</v>
      </c>
      <c r="Q45">
        <v>3</v>
      </c>
    </row>
    <row r="46" spans="1:17" ht="42.75">
      <c r="A46" s="59" t="s">
        <v>48</v>
      </c>
      <c r="B46" s="51" t="s">
        <v>49</v>
      </c>
      <c r="C46" s="51" t="s">
        <v>17</v>
      </c>
      <c r="D46" s="52">
        <f>ROUND(SUMIF(RV_DATA!P8:RV_DATA!P130,-1739580802,RV_DATA!I8:RV_DATA!I130),6)</f>
        <v>8</v>
      </c>
      <c r="E46" s="60">
        <f>Source!AC35</f>
        <v>658.5</v>
      </c>
      <c r="F46" s="60">
        <f>ROUND(SUMIF(RV_DATA!P8:RV_DATA!P130,-1739580802,RV_DATA!L8:RV_DATA!L130),6)</f>
        <v>5268</v>
      </c>
      <c r="Q46">
        <v>3</v>
      </c>
    </row>
    <row r="47" spans="1:17" ht="57">
      <c r="A47" s="59" t="s">
        <v>96</v>
      </c>
      <c r="B47" s="51" t="s">
        <v>97</v>
      </c>
      <c r="C47" s="51" t="s">
        <v>85</v>
      </c>
      <c r="D47" s="52">
        <f>ROUND(SUMIF(RV_DATA!P8:RV_DATA!P130,-379589725,RV_DATA!I8:RV_DATA!I130),6)</f>
        <v>0.015</v>
      </c>
      <c r="E47" s="60">
        <f>Source!AC46</f>
        <v>379.8</v>
      </c>
      <c r="F47" s="60">
        <f>ROUND(SUMIF(RV_DATA!P8:RV_DATA!P130,-379589725,RV_DATA!L8:RV_DATA!L130),6)</f>
        <v>5.697</v>
      </c>
      <c r="Q47">
        <v>3</v>
      </c>
    </row>
    <row r="48" spans="1:17" ht="57">
      <c r="A48" s="59" t="s">
        <v>92</v>
      </c>
      <c r="B48" s="51" t="s">
        <v>93</v>
      </c>
      <c r="C48" s="51" t="s">
        <v>85</v>
      </c>
      <c r="D48" s="52">
        <f>ROUND(SUMIF(RV_DATA!P8:RV_DATA!P130,1431966543,RV_DATA!I8:RV_DATA!I130),6)</f>
        <v>0.5</v>
      </c>
      <c r="E48" s="60">
        <f>Source!AC45</f>
        <v>377.87</v>
      </c>
      <c r="F48" s="60">
        <f>ROUND(SUMIF(RV_DATA!P8:RV_DATA!P130,1431966543,RV_DATA!L8:RV_DATA!L130),6)</f>
        <v>188.935</v>
      </c>
      <c r="Q48">
        <v>3</v>
      </c>
    </row>
    <row r="49" spans="1:17" ht="42.75">
      <c r="A49" s="59" t="s">
        <v>151</v>
      </c>
      <c r="B49" s="51" t="s">
        <v>152</v>
      </c>
      <c r="C49" s="51" t="s">
        <v>140</v>
      </c>
      <c r="D49" s="52">
        <f>ROUND(SUMIF(RV_DATA!P8:RV_DATA!P130,-1968502887,RV_DATA!I8:RV_DATA!I130),6)</f>
        <v>204.7</v>
      </c>
      <c r="E49" s="60">
        <f>Source!AC64</f>
        <v>98.44</v>
      </c>
      <c r="F49" s="60">
        <f>ROUND(SUMIF(RV_DATA!P8:RV_DATA!P130,-1968502887,RV_DATA!L8:RV_DATA!L130),6)</f>
        <v>20150.668</v>
      </c>
      <c r="Q49">
        <v>3</v>
      </c>
    </row>
    <row r="50" spans="1:17" ht="42.75">
      <c r="A50" s="59" t="s">
        <v>155</v>
      </c>
      <c r="B50" s="51" t="s">
        <v>357</v>
      </c>
      <c r="C50" s="51" t="s">
        <v>17</v>
      </c>
      <c r="D50" s="52">
        <f>ROUND(SUMIF(RV_DATA!P8:RV_DATA!P130,-488964819,RV_DATA!I8:RV_DATA!I130),6)</f>
        <v>7</v>
      </c>
      <c r="E50" s="60">
        <f>SmtRes!AE94</f>
        <v>3019.37</v>
      </c>
      <c r="F50" s="60">
        <f>ROUND(SUMIF(RV_DATA!P8:RV_DATA!P130,-488964819,RV_DATA!L8:RV_DATA!L130),6)</f>
        <v>21135.59</v>
      </c>
      <c r="Q50">
        <v>3</v>
      </c>
    </row>
    <row r="51" spans="1:17" ht="42.75">
      <c r="A51" s="59" t="s">
        <v>358</v>
      </c>
      <c r="B51" s="51" t="s">
        <v>360</v>
      </c>
      <c r="C51" s="51" t="s">
        <v>17</v>
      </c>
      <c r="D51" s="52">
        <f>ROUND(SUMIF(RV_DATA!P8:RV_DATA!P130,1825415654,RV_DATA!I8:RV_DATA!I130),6)</f>
        <v>2</v>
      </c>
      <c r="E51" s="60">
        <f>SmtRes!AE100</f>
        <v>4019.42</v>
      </c>
      <c r="F51" s="60">
        <f>ROUND(SUMIF(RV_DATA!P8:RV_DATA!P130,1825415654,RV_DATA!L8:RV_DATA!L130),6)</f>
        <v>8038.84</v>
      </c>
      <c r="Q51">
        <v>3</v>
      </c>
    </row>
    <row r="52" spans="1:17" ht="42.75">
      <c r="A52" s="59" t="s">
        <v>361</v>
      </c>
      <c r="B52" s="51" t="s">
        <v>363</v>
      </c>
      <c r="C52" s="51" t="s">
        <v>17</v>
      </c>
      <c r="D52" s="52">
        <f>ROUND(SUMIF(RV_DATA!P8:RV_DATA!P130,1769251115,RV_DATA!I8:RV_DATA!I130),6)</f>
        <v>19</v>
      </c>
      <c r="E52" s="60">
        <f>SmtRes!AE106</f>
        <v>4433.98</v>
      </c>
      <c r="F52" s="60">
        <f>ROUND(SUMIF(RV_DATA!P8:RV_DATA!P130,1769251115,RV_DATA!L8:RV_DATA!L130),6)</f>
        <v>84245.62</v>
      </c>
      <c r="Q52">
        <v>3</v>
      </c>
    </row>
    <row r="53" spans="1:17" ht="42.75">
      <c r="A53" s="59" t="s">
        <v>108</v>
      </c>
      <c r="B53" s="51" t="s">
        <v>109</v>
      </c>
      <c r="C53" s="51" t="s">
        <v>85</v>
      </c>
      <c r="D53" s="52">
        <f>ROUND(SUMIF(RV_DATA!P8:RV_DATA!P130,1579142516,RV_DATA!I8:RV_DATA!I130),6)</f>
        <v>128.4</v>
      </c>
      <c r="E53" s="60">
        <f>Source!AC49</f>
        <v>788.47</v>
      </c>
      <c r="F53" s="60">
        <f>ROUND(SUMIF(RV_DATA!P8:RV_DATA!P130,1579142516,RV_DATA!L8:RV_DATA!L130),6)</f>
        <v>101239.548</v>
      </c>
      <c r="Q53">
        <v>3</v>
      </c>
    </row>
    <row r="54" spans="1:17" ht="42.75">
      <c r="A54" s="59" t="s">
        <v>83</v>
      </c>
      <c r="B54" s="51" t="s">
        <v>84</v>
      </c>
      <c r="C54" s="51" t="s">
        <v>85</v>
      </c>
      <c r="D54" s="52">
        <f>ROUND(SUMIF(RV_DATA!P8:RV_DATA!P130,1424380518,RV_DATA!I8:RV_DATA!I130),6)</f>
        <v>20.9</v>
      </c>
      <c r="E54" s="60">
        <f>Source!AC43</f>
        <v>810.68</v>
      </c>
      <c r="F54" s="60">
        <f>ROUND(SUMIF(RV_DATA!P8:RV_DATA!P130,1424380518,RV_DATA!L8:RV_DATA!L130),6)</f>
        <v>16943.212</v>
      </c>
      <c r="Q54">
        <v>3</v>
      </c>
    </row>
    <row r="55" spans="1:17" ht="71.25">
      <c r="A55" s="59" t="s">
        <v>190</v>
      </c>
      <c r="B55" s="51" t="s">
        <v>191</v>
      </c>
      <c r="C55" s="51" t="s">
        <v>17</v>
      </c>
      <c r="D55" s="52">
        <f>ROUND(SUMIF(RV_DATA!P8:RV_DATA!P130,333111806,RV_DATA!I8:RV_DATA!I130),6)</f>
        <v>1</v>
      </c>
      <c r="E55" s="60">
        <f>Source!AC79</f>
        <v>3414.5</v>
      </c>
      <c r="F55" s="60">
        <f>ROUND(SUMIF(RV_DATA!P8:RV_DATA!P130,333111806,RV_DATA!L8:RV_DATA!L130),6)</f>
        <v>3414.5</v>
      </c>
      <c r="Q55">
        <v>3</v>
      </c>
    </row>
    <row r="56" spans="1:17" ht="57">
      <c r="A56" s="59" t="s">
        <v>198</v>
      </c>
      <c r="B56" s="51" t="s">
        <v>199</v>
      </c>
      <c r="C56" s="51" t="s">
        <v>17</v>
      </c>
      <c r="D56" s="52">
        <f>ROUND(SUMIF(RV_DATA!P8:RV_DATA!P130,-1199425507,RV_DATA!I8:RV_DATA!I130),6)</f>
        <v>1</v>
      </c>
      <c r="E56" s="60">
        <f>Source!AC81</f>
        <v>2660.52</v>
      </c>
      <c r="F56" s="60">
        <f>ROUND(SUMIF(RV_DATA!P8:RV_DATA!P130,-1199425507,RV_DATA!L8:RV_DATA!L130),6)</f>
        <v>2660.52</v>
      </c>
      <c r="Q56">
        <v>3</v>
      </c>
    </row>
    <row r="57" spans="1:17" ht="14.25">
      <c r="A57" s="59" t="s">
        <v>329</v>
      </c>
      <c r="B57" s="51" t="s">
        <v>331</v>
      </c>
      <c r="C57" s="51" t="s">
        <v>310</v>
      </c>
      <c r="D57" s="52">
        <f>ROUND(SUMIF(RV_DATA!P8:RV_DATA!P130,-1197852750,RV_DATA!I8:RV_DATA!I130),6)</f>
        <v>0.014</v>
      </c>
      <c r="E57" s="60">
        <f>SmtRes!AE23</f>
        <v>2593.7</v>
      </c>
      <c r="F57" s="60">
        <f>ROUND(SUMIF(RV_DATA!P8:RV_DATA!P130,-1197852750,RV_DATA!L8:RV_DATA!L130),6)</f>
        <v>36.3118</v>
      </c>
      <c r="Q57">
        <v>3</v>
      </c>
    </row>
    <row r="58" spans="1:17" ht="14.25">
      <c r="A58" s="59" t="s">
        <v>307</v>
      </c>
      <c r="B58" s="51" t="s">
        <v>309</v>
      </c>
      <c r="C58" s="51" t="s">
        <v>310</v>
      </c>
      <c r="D58" s="52">
        <f>ROUND(SUMIF(RV_DATA!P8:RV_DATA!P130,2110942179,RV_DATA!I8:RV_DATA!I130),6)</f>
        <v>0.0702</v>
      </c>
      <c r="E58" s="60">
        <f>SmtRes!AE14</f>
        <v>2834.05</v>
      </c>
      <c r="F58" s="60">
        <f>ROUND(SUMIF(RV_DATA!P8:RV_DATA!P130,2110942179,RV_DATA!L8:RV_DATA!L130),6)</f>
        <v>198.95031</v>
      </c>
      <c r="Q58">
        <v>3</v>
      </c>
    </row>
    <row r="59" spans="1:17" ht="42.75">
      <c r="A59" s="59" t="s">
        <v>332</v>
      </c>
      <c r="B59" s="51" t="s">
        <v>334</v>
      </c>
      <c r="C59" s="51" t="s">
        <v>67</v>
      </c>
      <c r="D59" s="52">
        <f>ROUND(SUMIF(RV_DATA!P8:RV_DATA!P130,-186562129,RV_DATA!I8:RV_DATA!I130),6)</f>
        <v>0.0022</v>
      </c>
      <c r="E59" s="60">
        <f>SmtRes!AE24</f>
        <v>36416.11</v>
      </c>
      <c r="F59" s="60">
        <f>ROUND(SUMIF(RV_DATA!P8:RV_DATA!P130,-186562129,RV_DATA!L8:RV_DATA!L130),6)</f>
        <v>80.115442</v>
      </c>
      <c r="Q59">
        <v>3</v>
      </c>
    </row>
    <row r="60" spans="1:17" ht="42.75">
      <c r="A60" s="59" t="s">
        <v>311</v>
      </c>
      <c r="B60" s="51" t="s">
        <v>313</v>
      </c>
      <c r="C60" s="51" t="s">
        <v>67</v>
      </c>
      <c r="D60" s="52">
        <f>ROUND(SUMIF(RV_DATA!P8:RV_DATA!P130,-1134729239,RV_DATA!I8:RV_DATA!I130),6)</f>
        <v>0.08772</v>
      </c>
      <c r="E60" s="60">
        <f>SmtRes!AE15</f>
        <v>29334.55</v>
      </c>
      <c r="F60" s="60">
        <f>ROUND(SUMIF(RV_DATA!P8:RV_DATA!P130,-1134729239,RV_DATA!L8:RV_DATA!L130),6)</f>
        <v>2573.226726</v>
      </c>
      <c r="Q60">
        <v>3</v>
      </c>
    </row>
    <row r="61" spans="1:17" ht="42.75">
      <c r="A61" s="59" t="s">
        <v>23</v>
      </c>
      <c r="B61" s="51" t="s">
        <v>24</v>
      </c>
      <c r="C61" s="51" t="s">
        <v>25</v>
      </c>
      <c r="D61" s="52">
        <f>ROUND(SUMIF(RV_DATA!P8:RV_DATA!P130,750906492,RV_DATA!I8:RV_DATA!I130),6)</f>
        <v>2</v>
      </c>
      <c r="E61" s="60">
        <f>Source!AC29</f>
        <v>6771.19</v>
      </c>
      <c r="F61" s="60">
        <f>ROUND(SUMIF(RV_DATA!P8:RV_DATA!P130,750906492,RV_DATA!L8:RV_DATA!L130),6)</f>
        <v>13542.38</v>
      </c>
      <c r="Q61">
        <v>3</v>
      </c>
    </row>
    <row r="62" spans="1:17" ht="42.75">
      <c r="A62" s="59" t="s">
        <v>70</v>
      </c>
      <c r="B62" s="51" t="s">
        <v>71</v>
      </c>
      <c r="C62" s="51" t="s">
        <v>25</v>
      </c>
      <c r="D62" s="52">
        <f>ROUND(SUMIF(RV_DATA!P8:RV_DATA!P130,1907461228,RV_DATA!I8:RV_DATA!I130),6)</f>
        <v>1</v>
      </c>
      <c r="E62" s="60">
        <f>Source!AC40</f>
        <v>3889.83</v>
      </c>
      <c r="F62" s="60">
        <f>ROUND(SUMIF(RV_DATA!P8:RV_DATA!P130,1907461228,RV_DATA!L8:RV_DATA!L130),6)</f>
        <v>3889.83</v>
      </c>
      <c r="Q62">
        <v>3</v>
      </c>
    </row>
    <row r="63" spans="1:17" ht="42.75">
      <c r="A63" s="59" t="s">
        <v>61</v>
      </c>
      <c r="B63" s="51" t="s">
        <v>62</v>
      </c>
      <c r="C63" s="51" t="s">
        <v>25</v>
      </c>
      <c r="D63" s="52">
        <f>ROUND(SUMIF(RV_DATA!P8:RV_DATA!P130,398040139,RV_DATA!I8:RV_DATA!I130),6)</f>
        <v>1</v>
      </c>
      <c r="E63" s="60">
        <f>Source!AC38</f>
        <v>7584.75</v>
      </c>
      <c r="F63" s="60">
        <f>ROUND(SUMIF(RV_DATA!P8:RV_DATA!P130,398040139,RV_DATA!L8:RV_DATA!L130),6)</f>
        <v>7584.75</v>
      </c>
      <c r="Q63">
        <v>3</v>
      </c>
    </row>
    <row r="64" spans="1:17" ht="42.75">
      <c r="A64" s="59" t="s">
        <v>88</v>
      </c>
      <c r="B64" s="51" t="s">
        <v>89</v>
      </c>
      <c r="C64" s="51" t="s">
        <v>25</v>
      </c>
      <c r="D64" s="52">
        <f>ROUND(SUMIF(RV_DATA!P8:RV_DATA!P130,-1529615798,RV_DATA!I8:RV_DATA!I130),6)</f>
        <v>6</v>
      </c>
      <c r="E64" s="60">
        <f>Source!AC44</f>
        <v>316.95</v>
      </c>
      <c r="F64" s="60">
        <f>ROUND(SUMIF(RV_DATA!P8:RV_DATA!P130,-1529615798,RV_DATA!L8:RV_DATA!L130),6)</f>
        <v>1901.7</v>
      </c>
      <c r="Q64">
        <v>3</v>
      </c>
    </row>
    <row r="65" spans="1:17" ht="42.75">
      <c r="A65" s="59" t="s">
        <v>147</v>
      </c>
      <c r="B65" s="51" t="s">
        <v>148</v>
      </c>
      <c r="C65" s="51" t="s">
        <v>25</v>
      </c>
      <c r="D65" s="52">
        <f>ROUND(SUMIF(RV_DATA!P8:RV_DATA!P130,1941801736,RV_DATA!I8:RV_DATA!I130),6)</f>
        <v>1</v>
      </c>
      <c r="E65" s="60">
        <f>Source!AC63</f>
        <v>1426.27</v>
      </c>
      <c r="F65" s="60">
        <f>ROUND(SUMIF(RV_DATA!P8:RV_DATA!P130,1941801736,RV_DATA!L8:RV_DATA!L130),6)</f>
        <v>1426.27</v>
      </c>
      <c r="Q65">
        <v>3</v>
      </c>
    </row>
    <row r="66" spans="1:17" ht="42.75">
      <c r="A66" s="59" t="s">
        <v>182</v>
      </c>
      <c r="B66" s="51" t="s">
        <v>183</v>
      </c>
      <c r="C66" s="51" t="s">
        <v>25</v>
      </c>
      <c r="D66" s="52">
        <f>ROUND(SUMIF(RV_DATA!P8:RV_DATA!P130,-1545976552,RV_DATA!I8:RV_DATA!I130),6)</f>
        <v>1</v>
      </c>
      <c r="E66" s="60">
        <f>Source!AC77</f>
        <v>31061.86</v>
      </c>
      <c r="F66" s="60">
        <f>ROUND(SUMIF(RV_DATA!P8:RV_DATA!P130,-1545976552,RV_DATA!L8:RV_DATA!L130),6)</f>
        <v>31061.86</v>
      </c>
      <c r="Q66">
        <v>3</v>
      </c>
    </row>
    <row r="67" spans="1:17" ht="42.75">
      <c r="A67" s="59" t="s">
        <v>206</v>
      </c>
      <c r="B67" s="51" t="s">
        <v>207</v>
      </c>
      <c r="C67" s="51" t="s">
        <v>25</v>
      </c>
      <c r="D67" s="52">
        <f>ROUND(SUMIF(RV_DATA!P8:RV_DATA!P130,-394320156,RV_DATA!I8:RV_DATA!I130),6)</f>
        <v>1</v>
      </c>
      <c r="E67" s="60">
        <f>Source!AC83</f>
        <v>7622.08</v>
      </c>
      <c r="F67" s="60">
        <f>ROUND(SUMIF(RV_DATA!P8:RV_DATA!P130,-394320156,RV_DATA!L8:RV_DATA!L130),6)</f>
        <v>7622.08</v>
      </c>
      <c r="Q67">
        <v>3</v>
      </c>
    </row>
    <row r="68" spans="1:6" ht="15">
      <c r="A68" s="97" t="s">
        <v>545</v>
      </c>
      <c r="B68" s="97"/>
      <c r="C68" s="97"/>
      <c r="D68" s="97"/>
      <c r="E68" s="98">
        <f>SUMIF(Q18:Q67,3,F18:F67)</f>
        <v>545754.149005</v>
      </c>
      <c r="F68" s="98"/>
    </row>
    <row r="69" spans="1:15" ht="16.5">
      <c r="A69" s="88" t="str">
        <f>CONCATENATE("Раздел: ",IF(Source!G113&lt;&gt;"Новый раздел",Source!G113,""))</f>
        <v>Раздел: Демонтажные работы</v>
      </c>
      <c r="B69" s="89"/>
      <c r="C69" s="89"/>
      <c r="D69" s="89"/>
      <c r="E69" s="89"/>
      <c r="F69" s="89"/>
      <c r="O69" s="58" t="s">
        <v>546</v>
      </c>
    </row>
    <row r="70" spans="1:6" ht="14.25">
      <c r="A70" s="95" t="s">
        <v>544</v>
      </c>
      <c r="B70" s="96"/>
      <c r="C70" s="96"/>
      <c r="D70" s="96"/>
      <c r="E70" s="96"/>
      <c r="F70" s="96"/>
    </row>
    <row r="71" spans="1:17" ht="28.5">
      <c r="A71" s="59" t="s">
        <v>387</v>
      </c>
      <c r="B71" s="51" t="s">
        <v>389</v>
      </c>
      <c r="C71" s="51" t="s">
        <v>67</v>
      </c>
      <c r="D71" s="52">
        <f>ROUND(SUMIF(RV_DATA!P132:RV_DATA!P133,-883438365,RV_DATA!I132:RV_DATA!I133),6)</f>
        <v>0.009</v>
      </c>
      <c r="E71" s="60">
        <f>SmtRes!AE150</f>
        <v>3589.54</v>
      </c>
      <c r="F71" s="60">
        <f>ROUND(SUMIF(RV_DATA!P132:RV_DATA!P133,-883438365,RV_DATA!L132:RV_DATA!L133),6)</f>
        <v>32.30586</v>
      </c>
      <c r="Q71">
        <v>3</v>
      </c>
    </row>
    <row r="72" spans="1:17" ht="42.75">
      <c r="A72" s="59" t="s">
        <v>390</v>
      </c>
      <c r="B72" s="51" t="s">
        <v>392</v>
      </c>
      <c r="C72" s="51" t="s">
        <v>17</v>
      </c>
      <c r="D72" s="52">
        <f>ROUND(SUMIF(RV_DATA!P132:RV_DATA!P133,-1132358831,RV_DATA!I132:RV_DATA!I133),6)</f>
        <v>18</v>
      </c>
      <c r="E72" s="60">
        <f>SmtRes!AE151</f>
        <v>155.31</v>
      </c>
      <c r="F72" s="60">
        <f>ROUND(SUMIF(RV_DATA!P132:RV_DATA!P133,-1132358831,RV_DATA!L132:RV_DATA!L133),6)</f>
        <v>2795.58</v>
      </c>
      <c r="Q72">
        <v>3</v>
      </c>
    </row>
    <row r="73" spans="1:6" ht="15">
      <c r="A73" s="97" t="s">
        <v>545</v>
      </c>
      <c r="B73" s="97"/>
      <c r="C73" s="97"/>
      <c r="D73" s="97"/>
      <c r="E73" s="98">
        <f>SUMIF(Q71:Q72,3,F71:F72)</f>
        <v>2827.88586</v>
      </c>
      <c r="F73" s="98"/>
    </row>
    <row r="74" spans="1:15" ht="16.5">
      <c r="A74" s="88" t="str">
        <f>CONCATENATE("Раздел: ",IF(Source!G150&lt;&gt;"Новый раздел",Source!G150,""))</f>
        <v>Раздел: Строительные работы</v>
      </c>
      <c r="B74" s="89"/>
      <c r="C74" s="89"/>
      <c r="D74" s="89"/>
      <c r="E74" s="89"/>
      <c r="F74" s="89"/>
      <c r="O74" s="58" t="s">
        <v>547</v>
      </c>
    </row>
    <row r="75" spans="1:6" ht="14.25">
      <c r="A75" s="95" t="s">
        <v>542</v>
      </c>
      <c r="B75" s="96"/>
      <c r="C75" s="96"/>
      <c r="D75" s="96"/>
      <c r="E75" s="96"/>
      <c r="F75" s="96"/>
    </row>
    <row r="76" spans="1:17" ht="28.5">
      <c r="A76" s="59" t="s">
        <v>393</v>
      </c>
      <c r="B76" s="51" t="s">
        <v>395</v>
      </c>
      <c r="C76" s="51" t="s">
        <v>300</v>
      </c>
      <c r="D76" s="52">
        <f>ROUND(SUMIF(RV_DATA!P135:RV_DATA!P145,1220026695,RV_DATA!I135:RV_DATA!I145),6)</f>
        <v>7.41055</v>
      </c>
      <c r="E76" s="60">
        <f>SmtRes!AF154</f>
        <v>566.36</v>
      </c>
      <c r="F76" s="60">
        <f>ROUND(SUMIF(RV_DATA!P135:RV_DATA!P145,1220026695,RV_DATA!L135:RV_DATA!L145),6)</f>
        <v>4197.039098</v>
      </c>
      <c r="Q76">
        <v>2</v>
      </c>
    </row>
    <row r="77" spans="1:17" ht="28.5">
      <c r="A77" s="59" t="s">
        <v>396</v>
      </c>
      <c r="B77" s="51" t="s">
        <v>398</v>
      </c>
      <c r="C77" s="51" t="s">
        <v>300</v>
      </c>
      <c r="D77" s="52">
        <f>ROUND(SUMIF(RV_DATA!P135:RV_DATA!P145,-509363266,RV_DATA!I135:RV_DATA!I145),6)</f>
        <v>7.41055</v>
      </c>
      <c r="E77" s="60">
        <f>SmtRes!AF155</f>
        <v>389.94</v>
      </c>
      <c r="F77" s="60">
        <f>ROUND(SUMIF(RV_DATA!P135:RV_DATA!P145,-509363266,RV_DATA!L135:RV_DATA!L145),6)</f>
        <v>2889.669867</v>
      </c>
      <c r="Q77">
        <v>2</v>
      </c>
    </row>
    <row r="78" spans="1:17" ht="28.5">
      <c r="A78" s="59" t="s">
        <v>301</v>
      </c>
      <c r="B78" s="51" t="s">
        <v>303</v>
      </c>
      <c r="C78" s="51" t="s">
        <v>300</v>
      </c>
      <c r="D78" s="52">
        <f>ROUND(SUMIF(RV_DATA!P135:RV_DATA!P145,-735925214,RV_DATA!I135:RV_DATA!I145),6)</f>
        <v>1.116</v>
      </c>
      <c r="E78" s="60">
        <f>SmtRes!AF156</f>
        <v>6.05</v>
      </c>
      <c r="F78" s="60">
        <f>ROUND(SUMIF(RV_DATA!P135:RV_DATA!P145,-735925214,RV_DATA!L135:RV_DATA!L145),6)</f>
        <v>6.7518</v>
      </c>
      <c r="Q78">
        <v>2</v>
      </c>
    </row>
    <row r="79" spans="1:6" ht="15">
      <c r="A79" s="97" t="s">
        <v>543</v>
      </c>
      <c r="B79" s="97"/>
      <c r="C79" s="97"/>
      <c r="D79" s="97"/>
      <c r="E79" s="98">
        <f>SUMIF(Q76:Q78,2,F76:F78)</f>
        <v>7093.460765</v>
      </c>
      <c r="F79" s="98"/>
    </row>
    <row r="80" spans="1:6" ht="14.25">
      <c r="A80" s="95" t="s">
        <v>544</v>
      </c>
      <c r="B80" s="96"/>
      <c r="C80" s="96"/>
      <c r="D80" s="96"/>
      <c r="E80" s="96"/>
      <c r="F80" s="96"/>
    </row>
    <row r="81" spans="1:17" ht="14.25">
      <c r="A81" s="59" t="s">
        <v>399</v>
      </c>
      <c r="B81" s="51" t="s">
        <v>401</v>
      </c>
      <c r="C81" s="51" t="s">
        <v>140</v>
      </c>
      <c r="D81" s="52">
        <f>ROUND(SUMIF(RV_DATA!P135:RV_DATA!P145,1172434421,RV_DATA!I135:RV_DATA!I145),6)</f>
        <v>1.55</v>
      </c>
      <c r="E81" s="60">
        <f>SmtRes!AE157</f>
        <v>27.91</v>
      </c>
      <c r="F81" s="60">
        <f>ROUND(SUMIF(RV_DATA!P135:RV_DATA!P145,1172434421,RV_DATA!L135:RV_DATA!L145),6)</f>
        <v>43.2605</v>
      </c>
      <c r="Q81">
        <v>3</v>
      </c>
    </row>
    <row r="82" spans="1:17" ht="28.5">
      <c r="A82" s="59" t="s">
        <v>387</v>
      </c>
      <c r="B82" s="51" t="s">
        <v>389</v>
      </c>
      <c r="C82" s="51" t="s">
        <v>67</v>
      </c>
      <c r="D82" s="52">
        <f>ROUND(SUMIF(RV_DATA!P135:RV_DATA!P145,-883438365,RV_DATA!I135:RV_DATA!I145),6)</f>
        <v>0.5185</v>
      </c>
      <c r="E82" s="60">
        <f>SmtRes!AE164</f>
        <v>3589.54</v>
      </c>
      <c r="F82" s="60">
        <f>ROUND(SUMIF(RV_DATA!P135:RV_DATA!P145,-883438365,RV_DATA!L135:RV_DATA!L145),6)</f>
        <v>1861.17649</v>
      </c>
      <c r="Q82">
        <v>3</v>
      </c>
    </row>
    <row r="83" spans="1:17" ht="14.25">
      <c r="A83" s="59" t="s">
        <v>402</v>
      </c>
      <c r="B83" s="51" t="s">
        <v>404</v>
      </c>
      <c r="C83" s="51" t="s">
        <v>310</v>
      </c>
      <c r="D83" s="52">
        <f>ROUND(SUMIF(RV_DATA!P135:RV_DATA!P145,-1826865761,RV_DATA!I135:RV_DATA!I145),6)</f>
        <v>0.001364</v>
      </c>
      <c r="E83" s="60">
        <f>SmtRes!AE158</f>
        <v>28.77</v>
      </c>
      <c r="F83" s="60">
        <f>ROUND(SUMIF(RV_DATA!P135:RV_DATA!P145,-1826865761,RV_DATA!L135:RV_DATA!L145),6)</f>
        <v>0.039242</v>
      </c>
      <c r="Q83">
        <v>3</v>
      </c>
    </row>
    <row r="84" spans="1:17" ht="28.5">
      <c r="A84" s="59" t="s">
        <v>405</v>
      </c>
      <c r="B84" s="51" t="s">
        <v>407</v>
      </c>
      <c r="C84" s="51" t="s">
        <v>85</v>
      </c>
      <c r="D84" s="52">
        <f>ROUND(SUMIF(RV_DATA!P135:RV_DATA!P145,-1497362457,RV_DATA!I135:RV_DATA!I145),6)</f>
        <v>37.2</v>
      </c>
      <c r="E84" s="60">
        <f>SmtRes!AE159</f>
        <v>12.61</v>
      </c>
      <c r="F84" s="60">
        <f>ROUND(SUMIF(RV_DATA!P135:RV_DATA!P145,-1497362457,RV_DATA!L135:RV_DATA!L145),6)</f>
        <v>469.092</v>
      </c>
      <c r="Q84">
        <v>3</v>
      </c>
    </row>
    <row r="85" spans="1:17" ht="28.5">
      <c r="A85" s="59" t="s">
        <v>408</v>
      </c>
      <c r="B85" s="51" t="s">
        <v>410</v>
      </c>
      <c r="C85" s="51" t="s">
        <v>85</v>
      </c>
      <c r="D85" s="52">
        <f>ROUND(SUMIF(RV_DATA!P135:RV_DATA!P145,1984642509,RV_DATA!I135:RV_DATA!I145),6)</f>
        <v>17.05</v>
      </c>
      <c r="E85" s="60">
        <f>SmtRes!AE160</f>
        <v>162.23</v>
      </c>
      <c r="F85" s="60">
        <f>ROUND(SUMIF(RV_DATA!P135:RV_DATA!P145,1984642509,RV_DATA!L135:RV_DATA!L145),6)</f>
        <v>2766.0215</v>
      </c>
      <c r="Q85">
        <v>3</v>
      </c>
    </row>
    <row r="86" spans="1:17" ht="28.5">
      <c r="A86" s="59" t="s">
        <v>411</v>
      </c>
      <c r="B86" s="51" t="s">
        <v>413</v>
      </c>
      <c r="C86" s="51" t="s">
        <v>67</v>
      </c>
      <c r="D86" s="52">
        <f>ROUND(SUMIF(RV_DATA!P135:RV_DATA!P145,-1618416244,RV_DATA!I135:RV_DATA!I145),6)</f>
        <v>0.0837</v>
      </c>
      <c r="E86" s="60">
        <f>SmtRes!AE161</f>
        <v>98147.75</v>
      </c>
      <c r="F86" s="60">
        <f>ROUND(SUMIF(RV_DATA!P135:RV_DATA!P145,-1618416244,RV_DATA!L135:RV_DATA!L145),6)</f>
        <v>8214.966675</v>
      </c>
      <c r="Q86">
        <v>3</v>
      </c>
    </row>
    <row r="87" spans="1:17" ht="28.5">
      <c r="A87" s="59" t="s">
        <v>414</v>
      </c>
      <c r="B87" s="51" t="s">
        <v>416</v>
      </c>
      <c r="C87" s="51" t="s">
        <v>67</v>
      </c>
      <c r="D87" s="52">
        <f>ROUND(SUMIF(RV_DATA!P135:RV_DATA!P145,220337430,RV_DATA!I135:RV_DATA!I145),6)</f>
        <v>0.002015</v>
      </c>
      <c r="E87" s="60">
        <f>SmtRes!AE162</f>
        <v>69344.71</v>
      </c>
      <c r="F87" s="60">
        <f>ROUND(SUMIF(RV_DATA!P135:RV_DATA!P145,220337430,RV_DATA!L135:RV_DATA!L145),6)</f>
        <v>139.729591</v>
      </c>
      <c r="Q87">
        <v>3</v>
      </c>
    </row>
    <row r="88" spans="1:17" ht="14.25">
      <c r="A88" s="59" t="s">
        <v>329</v>
      </c>
      <c r="B88" s="51" t="s">
        <v>331</v>
      </c>
      <c r="C88" s="51" t="s">
        <v>310</v>
      </c>
      <c r="D88" s="52">
        <f>ROUND(SUMIF(RV_DATA!P135:RV_DATA!P145,-1197852750,RV_DATA!I135:RV_DATA!I145),6)</f>
        <v>0.0915</v>
      </c>
      <c r="E88" s="60">
        <f>SmtRes!AE165</f>
        <v>2593.7</v>
      </c>
      <c r="F88" s="60">
        <f>ROUND(SUMIF(RV_DATA!P135:RV_DATA!P145,-1197852750,RV_DATA!L135:RV_DATA!L145),6)</f>
        <v>237.32355</v>
      </c>
      <c r="Q88">
        <v>3</v>
      </c>
    </row>
    <row r="89" spans="1:6" ht="15">
      <c r="A89" s="97" t="s">
        <v>545</v>
      </c>
      <c r="B89" s="97"/>
      <c r="C89" s="97"/>
      <c r="D89" s="97"/>
      <c r="E89" s="98">
        <f>SUMIF(Q81:Q88,3,F81:F88)</f>
        <v>13731.609547999999</v>
      </c>
      <c r="F89" s="98"/>
    </row>
    <row r="91" spans="1:15" ht="16.5">
      <c r="A91" s="99" t="str">
        <f>CONCATENATE("Итого по локальной смете:",IF(Source!G181&lt;&gt;"Новая локальная смета",Source!G181,""))</f>
        <v>Итого по локальной смете:</v>
      </c>
      <c r="B91" s="100"/>
      <c r="C91" s="100"/>
      <c r="D91" s="100"/>
      <c r="E91" s="100"/>
      <c r="F91" s="101"/>
      <c r="O91" s="58" t="s">
        <v>548</v>
      </c>
    </row>
    <row r="92" spans="1:6" ht="15">
      <c r="A92" s="97" t="s">
        <v>543</v>
      </c>
      <c r="B92" s="97"/>
      <c r="C92" s="97"/>
      <c r="D92" s="97"/>
      <c r="E92" s="98">
        <f>SUMIF(Q1:Q91,2,F1:F91)</f>
        <v>8631.357922000001</v>
      </c>
      <c r="F92" s="98"/>
    </row>
    <row r="93" spans="1:6" ht="15">
      <c r="A93" s="97" t="s">
        <v>545</v>
      </c>
      <c r="B93" s="97"/>
      <c r="C93" s="97"/>
      <c r="D93" s="97"/>
      <c r="E93" s="98">
        <f>SUMIF(Q1:Q92,3,F1:F92)</f>
        <v>562313.6444129999</v>
      </c>
      <c r="F93" s="98"/>
    </row>
    <row r="94" spans="1:6" ht="14.25" customHeight="1" hidden="1">
      <c r="A94" s="97" t="s">
        <v>549</v>
      </c>
      <c r="B94" s="97"/>
      <c r="C94" s="97"/>
      <c r="D94" s="97"/>
      <c r="E94" s="98">
        <f>SUMIF(Q1:Q93,4,F1:F93)</f>
        <v>0</v>
      </c>
      <c r="F94" s="98"/>
    </row>
    <row r="95" spans="1:6" ht="14.25" customHeight="1" hidden="1">
      <c r="A95" s="97" t="s">
        <v>550</v>
      </c>
      <c r="B95" s="97"/>
      <c r="C95" s="97"/>
      <c r="D95" s="97"/>
      <c r="E95" s="98">
        <f>SUMIF(Q1:Q94,5,F1:F94)</f>
        <v>0</v>
      </c>
      <c r="F95" s="98"/>
    </row>
    <row r="98" spans="1:15" ht="33">
      <c r="A98" s="99" t="str">
        <f>CONCATENATE("Итого по объекту: ",IF(Source!G207&lt;&gt;"Новый объект",Source!G207,""))</f>
        <v>Итого по объекту: ГБОУ Школа №305" по адресу : проезд Черского, дом 27А  Вентиляция</v>
      </c>
      <c r="B98" s="100"/>
      <c r="C98" s="100"/>
      <c r="D98" s="100"/>
      <c r="E98" s="100"/>
      <c r="F98" s="101"/>
      <c r="O98" s="58" t="s">
        <v>551</v>
      </c>
    </row>
    <row r="99" spans="1:6" ht="15">
      <c r="A99" s="97" t="s">
        <v>543</v>
      </c>
      <c r="B99" s="97"/>
      <c r="C99" s="97"/>
      <c r="D99" s="97"/>
      <c r="E99" s="98">
        <f>SUMIF(Q1:Q98,2,F1:F98)</f>
        <v>8631.357922000001</v>
      </c>
      <c r="F99" s="98"/>
    </row>
    <row r="100" spans="1:6" ht="15">
      <c r="A100" s="97" t="s">
        <v>545</v>
      </c>
      <c r="B100" s="97"/>
      <c r="C100" s="97"/>
      <c r="D100" s="97"/>
      <c r="E100" s="98">
        <f>SUMIF(Q1:Q99,3,F1:F99)</f>
        <v>562313.6444129999</v>
      </c>
      <c r="F100" s="98"/>
    </row>
    <row r="101" spans="1:6" ht="14.25" customHeight="1" hidden="1">
      <c r="A101" s="97" t="s">
        <v>549</v>
      </c>
      <c r="B101" s="97"/>
      <c r="C101" s="97"/>
      <c r="D101" s="97"/>
      <c r="E101" s="98">
        <f>SUMIF(Q1:Q100,4,F1:F100)</f>
        <v>0</v>
      </c>
      <c r="F101" s="98"/>
    </row>
    <row r="102" spans="1:6" ht="14.25" customHeight="1" hidden="1">
      <c r="A102" s="97" t="s">
        <v>550</v>
      </c>
      <c r="B102" s="97"/>
      <c r="C102" s="97"/>
      <c r="D102" s="97"/>
      <c r="E102" s="98">
        <f>SUMIF(Q1:Q101,5,F1:F101)</f>
        <v>0</v>
      </c>
      <c r="F102" s="98"/>
    </row>
  </sheetData>
  <sheetProtection/>
  <mergeCells count="44">
    <mergeCell ref="A101:D101"/>
    <mergeCell ref="E101:F101"/>
    <mergeCell ref="A102:D102"/>
    <mergeCell ref="E102:F102"/>
    <mergeCell ref="A95:D95"/>
    <mergeCell ref="E95:F95"/>
    <mergeCell ref="A98:F98"/>
    <mergeCell ref="A99:D99"/>
    <mergeCell ref="E99:F99"/>
    <mergeCell ref="A100:D100"/>
    <mergeCell ref="E100:F100"/>
    <mergeCell ref="A91:F91"/>
    <mergeCell ref="A92:D92"/>
    <mergeCell ref="E92:F92"/>
    <mergeCell ref="A93:D93"/>
    <mergeCell ref="E93:F93"/>
    <mergeCell ref="A94:D94"/>
    <mergeCell ref="E94:F94"/>
    <mergeCell ref="A74:F74"/>
    <mergeCell ref="A75:F75"/>
    <mergeCell ref="A79:D79"/>
    <mergeCell ref="E79:F79"/>
    <mergeCell ref="A80:F80"/>
    <mergeCell ref="A89:D89"/>
    <mergeCell ref="E89:F89"/>
    <mergeCell ref="A68:D68"/>
    <mergeCell ref="E68:F68"/>
    <mergeCell ref="A69:F69"/>
    <mergeCell ref="A70:F70"/>
    <mergeCell ref="A73:D73"/>
    <mergeCell ref="E73:F73"/>
    <mergeCell ref="A8:F8"/>
    <mergeCell ref="A9:F9"/>
    <mergeCell ref="A10:F10"/>
    <mergeCell ref="A16:D16"/>
    <mergeCell ref="E16:F16"/>
    <mergeCell ref="A17:F17"/>
    <mergeCell ref="A2:F2"/>
    <mergeCell ref="A3:F3"/>
    <mergeCell ref="A4:A6"/>
    <mergeCell ref="B4:B6"/>
    <mergeCell ref="C4:C6"/>
    <mergeCell ref="D4:D6"/>
    <mergeCell ref="E4:F5"/>
  </mergeCells>
  <printOptions/>
  <pageMargins left="0.6" right="0.4" top="0.65" bottom="0.4" header="0.4" footer="0.4"/>
  <pageSetup horizontalDpi="600" verticalDpi="600" orientation="portrait" paperSize="9" scale="96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R243"/>
  <sheetViews>
    <sheetView zoomScalePageLayoutView="0" workbookViewId="0" topLeftCell="A1">
      <selection activeCell="G12" sqref="G12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47492</v>
      </c>
      <c r="M1">
        <v>10</v>
      </c>
    </row>
    <row r="12" spans="1:133" ht="12.75">
      <c r="A12" s="1">
        <v>1</v>
      </c>
      <c r="B12" s="1">
        <v>239</v>
      </c>
      <c r="C12" s="1">
        <v>0</v>
      </c>
      <c r="D12" s="1">
        <f>ROW(A207)</f>
        <v>207</v>
      </c>
      <c r="E12" s="1">
        <v>0</v>
      </c>
      <c r="F12" s="1" t="s">
        <v>4</v>
      </c>
      <c r="G12" s="61" t="s">
        <v>552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B207</f>
        <v>239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ГБОУ Школа №305" по адресу : проезд Черского, дом 27А  Вентиляция</v>
      </c>
      <c r="H18" s="2"/>
      <c r="I18" s="2"/>
      <c r="J18" s="2"/>
      <c r="K18" s="2"/>
      <c r="L18" s="2"/>
      <c r="M18" s="2"/>
      <c r="N18" s="2"/>
      <c r="O18" s="2">
        <f aca="true" t="shared" si="1" ref="O18:AT18">O207</f>
        <v>723328.24</v>
      </c>
      <c r="P18" s="2">
        <f t="shared" si="1"/>
        <v>562313.1</v>
      </c>
      <c r="Q18" s="2">
        <f t="shared" si="1"/>
        <v>8632.21</v>
      </c>
      <c r="R18" s="2">
        <f t="shared" si="1"/>
        <v>3236.14</v>
      </c>
      <c r="S18" s="2">
        <f t="shared" si="1"/>
        <v>152382.93</v>
      </c>
      <c r="T18" s="2">
        <f t="shared" si="1"/>
        <v>0</v>
      </c>
      <c r="U18" s="2">
        <f t="shared" si="1"/>
        <v>851.5374259999999</v>
      </c>
      <c r="V18" s="2">
        <f t="shared" si="1"/>
        <v>0</v>
      </c>
      <c r="W18" s="2">
        <f t="shared" si="1"/>
        <v>0</v>
      </c>
      <c r="X18" s="2">
        <f t="shared" si="1"/>
        <v>106668.07</v>
      </c>
      <c r="Y18" s="2">
        <f t="shared" si="1"/>
        <v>15238.29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848729.62</v>
      </c>
      <c r="AS18" s="2">
        <f t="shared" si="1"/>
        <v>0</v>
      </c>
      <c r="AT18" s="2">
        <f t="shared" si="1"/>
        <v>0</v>
      </c>
      <c r="AU18" s="2">
        <f aca="true" t="shared" si="2" ref="AU18:BZ18">AU207</f>
        <v>848729.62</v>
      </c>
      <c r="AV18" s="2">
        <f t="shared" si="2"/>
        <v>562313.1</v>
      </c>
      <c r="AW18" s="2">
        <f t="shared" si="2"/>
        <v>562313.1</v>
      </c>
      <c r="AX18" s="2">
        <f t="shared" si="2"/>
        <v>0</v>
      </c>
      <c r="AY18" s="2">
        <f t="shared" si="2"/>
        <v>562313.1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CA207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DG207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ROW(A181)</f>
        <v>181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B181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Новая локальная смета</v>
      </c>
      <c r="G22" s="2" t="str">
        <f t="shared" si="5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aca="true" t="shared" si="6" ref="O22:AT22">O181</f>
        <v>723328.24</v>
      </c>
      <c r="P22" s="2">
        <f t="shared" si="6"/>
        <v>562313.1</v>
      </c>
      <c r="Q22" s="2">
        <f t="shared" si="6"/>
        <v>8632.21</v>
      </c>
      <c r="R22" s="2">
        <f t="shared" si="6"/>
        <v>3236.14</v>
      </c>
      <c r="S22" s="2">
        <f t="shared" si="6"/>
        <v>152382.93</v>
      </c>
      <c r="T22" s="2">
        <f t="shared" si="6"/>
        <v>0</v>
      </c>
      <c r="U22" s="2">
        <f t="shared" si="6"/>
        <v>851.5374259999999</v>
      </c>
      <c r="V22" s="2">
        <f t="shared" si="6"/>
        <v>0</v>
      </c>
      <c r="W22" s="2">
        <f t="shared" si="6"/>
        <v>0</v>
      </c>
      <c r="X22" s="2">
        <f t="shared" si="6"/>
        <v>106668.07</v>
      </c>
      <c r="Y22" s="2">
        <f t="shared" si="6"/>
        <v>15238.29</v>
      </c>
      <c r="Z22" s="2">
        <f t="shared" si="6"/>
        <v>0</v>
      </c>
      <c r="AA22" s="2">
        <f t="shared" si="6"/>
        <v>0</v>
      </c>
      <c r="AB22" s="2">
        <f t="shared" si="6"/>
        <v>0</v>
      </c>
      <c r="AC22" s="2">
        <f t="shared" si="6"/>
        <v>0</v>
      </c>
      <c r="AD22" s="2">
        <f t="shared" si="6"/>
        <v>0</v>
      </c>
      <c r="AE22" s="2">
        <f t="shared" si="6"/>
        <v>0</v>
      </c>
      <c r="AF22" s="2">
        <f t="shared" si="6"/>
        <v>0</v>
      </c>
      <c r="AG22" s="2">
        <f t="shared" si="6"/>
        <v>0</v>
      </c>
      <c r="AH22" s="2">
        <f t="shared" si="6"/>
        <v>0</v>
      </c>
      <c r="AI22" s="2">
        <f t="shared" si="6"/>
        <v>0</v>
      </c>
      <c r="AJ22" s="2">
        <f t="shared" si="6"/>
        <v>0</v>
      </c>
      <c r="AK22" s="2">
        <f t="shared" si="6"/>
        <v>0</v>
      </c>
      <c r="AL22" s="2">
        <f t="shared" si="6"/>
        <v>0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848729.62</v>
      </c>
      <c r="AS22" s="2">
        <f t="shared" si="6"/>
        <v>0</v>
      </c>
      <c r="AT22" s="2">
        <f t="shared" si="6"/>
        <v>0</v>
      </c>
      <c r="AU22" s="2">
        <f aca="true" t="shared" si="7" ref="AU22:BZ22">AU181</f>
        <v>848729.62</v>
      </c>
      <c r="AV22" s="2">
        <f t="shared" si="7"/>
        <v>562313.1</v>
      </c>
      <c r="AW22" s="2">
        <f t="shared" si="7"/>
        <v>562313.1</v>
      </c>
      <c r="AX22" s="2">
        <f t="shared" si="7"/>
        <v>0</v>
      </c>
      <c r="AY22" s="2">
        <f t="shared" si="7"/>
        <v>562313.1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0</v>
      </c>
      <c r="BF22" s="2">
        <f t="shared" si="7"/>
        <v>0</v>
      </c>
      <c r="BG22" s="2">
        <f t="shared" si="7"/>
        <v>0</v>
      </c>
      <c r="BH22" s="2">
        <f t="shared" si="7"/>
        <v>0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CA181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DG181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88" ht="12.75">
      <c r="A24" s="1">
        <v>4</v>
      </c>
      <c r="B24" s="1">
        <v>1</v>
      </c>
      <c r="C24" s="1"/>
      <c r="D24" s="1">
        <f>ROW(A85)</f>
        <v>85</v>
      </c>
      <c r="E24" s="1"/>
      <c r="F24" s="1" t="s">
        <v>12</v>
      </c>
      <c r="G24" s="1" t="s">
        <v>13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118" ht="12.75">
      <c r="A26" s="2">
        <v>52</v>
      </c>
      <c r="B26" s="2">
        <f aca="true" t="shared" si="10" ref="B26:G26">B85</f>
        <v>1</v>
      </c>
      <c r="C26" s="2">
        <f t="shared" si="10"/>
        <v>4</v>
      </c>
      <c r="D26" s="2">
        <f t="shared" si="10"/>
        <v>24</v>
      </c>
      <c r="E26" s="2">
        <f t="shared" si="10"/>
        <v>0</v>
      </c>
      <c r="F26" s="2" t="str">
        <f t="shared" si="10"/>
        <v>Новый раздел</v>
      </c>
      <c r="G26" s="2" t="str">
        <f t="shared" si="10"/>
        <v>Монтажные работы</v>
      </c>
      <c r="H26" s="2"/>
      <c r="I26" s="2"/>
      <c r="J26" s="2"/>
      <c r="K26" s="2"/>
      <c r="L26" s="2"/>
      <c r="M26" s="2"/>
      <c r="N26" s="2"/>
      <c r="O26" s="2">
        <f aca="true" t="shared" si="11" ref="O26:AT26">O85</f>
        <v>667419.05</v>
      </c>
      <c r="P26" s="2">
        <f t="shared" si="11"/>
        <v>545753.61</v>
      </c>
      <c r="Q26" s="2">
        <f t="shared" si="11"/>
        <v>1538.75</v>
      </c>
      <c r="R26" s="2">
        <f t="shared" si="11"/>
        <v>283.65</v>
      </c>
      <c r="S26" s="2">
        <f t="shared" si="11"/>
        <v>120126.69</v>
      </c>
      <c r="T26" s="2">
        <f t="shared" si="11"/>
        <v>0</v>
      </c>
      <c r="U26" s="2">
        <f t="shared" si="11"/>
        <v>665.7902259999998</v>
      </c>
      <c r="V26" s="2">
        <f t="shared" si="11"/>
        <v>0</v>
      </c>
      <c r="W26" s="2">
        <f t="shared" si="11"/>
        <v>0</v>
      </c>
      <c r="X26" s="2">
        <f t="shared" si="11"/>
        <v>84088.7</v>
      </c>
      <c r="Y26" s="2">
        <f t="shared" si="11"/>
        <v>12012.66</v>
      </c>
      <c r="Z26" s="2">
        <f t="shared" si="11"/>
        <v>0</v>
      </c>
      <c r="AA26" s="2">
        <f t="shared" si="11"/>
        <v>0</v>
      </c>
      <c r="AB26" s="2">
        <f t="shared" si="11"/>
        <v>667419.05</v>
      </c>
      <c r="AC26" s="2">
        <f t="shared" si="11"/>
        <v>545753.61</v>
      </c>
      <c r="AD26" s="2">
        <f t="shared" si="11"/>
        <v>1538.75</v>
      </c>
      <c r="AE26" s="2">
        <f t="shared" si="11"/>
        <v>283.65</v>
      </c>
      <c r="AF26" s="2">
        <f t="shared" si="11"/>
        <v>120126.69</v>
      </c>
      <c r="AG26" s="2">
        <f t="shared" si="11"/>
        <v>0</v>
      </c>
      <c r="AH26" s="2">
        <f t="shared" si="11"/>
        <v>665.7902259999998</v>
      </c>
      <c r="AI26" s="2">
        <f t="shared" si="11"/>
        <v>0</v>
      </c>
      <c r="AJ26" s="2">
        <f t="shared" si="11"/>
        <v>0</v>
      </c>
      <c r="AK26" s="2">
        <f t="shared" si="11"/>
        <v>84088.7</v>
      </c>
      <c r="AL26" s="2">
        <f t="shared" si="11"/>
        <v>12012.66</v>
      </c>
      <c r="AM26" s="2">
        <f t="shared" si="11"/>
        <v>0</v>
      </c>
      <c r="AN26" s="2">
        <f t="shared" si="11"/>
        <v>0</v>
      </c>
      <c r="AO26" s="2">
        <f t="shared" si="11"/>
        <v>0</v>
      </c>
      <c r="AP26" s="2">
        <f t="shared" si="11"/>
        <v>0</v>
      </c>
      <c r="AQ26" s="2">
        <f t="shared" si="11"/>
        <v>0</v>
      </c>
      <c r="AR26" s="2">
        <f t="shared" si="11"/>
        <v>763826.74</v>
      </c>
      <c r="AS26" s="2">
        <f t="shared" si="11"/>
        <v>0</v>
      </c>
      <c r="AT26" s="2">
        <f t="shared" si="11"/>
        <v>0</v>
      </c>
      <c r="AU26" s="2">
        <f aca="true" t="shared" si="12" ref="AU26:BZ26">AU85</f>
        <v>763826.74</v>
      </c>
      <c r="AV26" s="2">
        <f t="shared" si="12"/>
        <v>545753.61</v>
      </c>
      <c r="AW26" s="2">
        <f t="shared" si="12"/>
        <v>545753.61</v>
      </c>
      <c r="AX26" s="2">
        <f t="shared" si="12"/>
        <v>0</v>
      </c>
      <c r="AY26" s="2">
        <f t="shared" si="12"/>
        <v>545753.61</v>
      </c>
      <c r="AZ26" s="2">
        <f t="shared" si="12"/>
        <v>0</v>
      </c>
      <c r="BA26" s="2">
        <f t="shared" si="12"/>
        <v>0</v>
      </c>
      <c r="BB26" s="2">
        <f t="shared" si="12"/>
        <v>0</v>
      </c>
      <c r="BC26" s="2">
        <f t="shared" si="12"/>
        <v>0</v>
      </c>
      <c r="BD26" s="2">
        <f t="shared" si="12"/>
        <v>0</v>
      </c>
      <c r="BE26" s="2">
        <f t="shared" si="12"/>
        <v>763826.74</v>
      </c>
      <c r="BF26" s="2">
        <f t="shared" si="12"/>
        <v>0</v>
      </c>
      <c r="BG26" s="2">
        <f t="shared" si="12"/>
        <v>0</v>
      </c>
      <c r="BH26" s="2">
        <f t="shared" si="12"/>
        <v>763826.74</v>
      </c>
      <c r="BI26" s="2">
        <f t="shared" si="12"/>
        <v>545753.61</v>
      </c>
      <c r="BJ26" s="2">
        <f t="shared" si="12"/>
        <v>545753.61</v>
      </c>
      <c r="BK26" s="2">
        <f t="shared" si="12"/>
        <v>0</v>
      </c>
      <c r="BL26" s="2">
        <f t="shared" si="12"/>
        <v>545753.61</v>
      </c>
      <c r="BM26" s="2">
        <f t="shared" si="12"/>
        <v>0</v>
      </c>
      <c r="BN26" s="2">
        <f t="shared" si="12"/>
        <v>0</v>
      </c>
      <c r="BO26" s="3">
        <f t="shared" si="12"/>
        <v>0</v>
      </c>
      <c r="BP26" s="3">
        <f t="shared" si="12"/>
        <v>0</v>
      </c>
      <c r="BQ26" s="3">
        <f t="shared" si="12"/>
        <v>0</v>
      </c>
      <c r="BR26" s="3">
        <f t="shared" si="12"/>
        <v>0</v>
      </c>
      <c r="BS26" s="3">
        <f t="shared" si="12"/>
        <v>0</v>
      </c>
      <c r="BT26" s="3">
        <f t="shared" si="12"/>
        <v>0</v>
      </c>
      <c r="BU26" s="3">
        <f t="shared" si="12"/>
        <v>0</v>
      </c>
      <c r="BV26" s="3">
        <f t="shared" si="12"/>
        <v>0</v>
      </c>
      <c r="BW26" s="3">
        <f t="shared" si="12"/>
        <v>0</v>
      </c>
      <c r="BX26" s="3">
        <f t="shared" si="12"/>
        <v>0</v>
      </c>
      <c r="BY26" s="3">
        <f t="shared" si="12"/>
        <v>0</v>
      </c>
      <c r="BZ26" s="3">
        <f t="shared" si="12"/>
        <v>0</v>
      </c>
      <c r="CA26" s="3">
        <f aca="true" t="shared" si="13" ref="CA26:DF26">CA85</f>
        <v>0</v>
      </c>
      <c r="CB26" s="3">
        <f t="shared" si="13"/>
        <v>0</v>
      </c>
      <c r="CC26" s="3">
        <f t="shared" si="13"/>
        <v>0</v>
      </c>
      <c r="CD26" s="3">
        <f t="shared" si="13"/>
        <v>0</v>
      </c>
      <c r="CE26" s="3">
        <f t="shared" si="13"/>
        <v>0</v>
      </c>
      <c r="CF26" s="3">
        <f t="shared" si="13"/>
        <v>0</v>
      </c>
      <c r="CG26" s="3">
        <f t="shared" si="13"/>
        <v>0</v>
      </c>
      <c r="CH26" s="3">
        <f t="shared" si="13"/>
        <v>0</v>
      </c>
      <c r="CI26" s="3">
        <f t="shared" si="13"/>
        <v>0</v>
      </c>
      <c r="CJ26" s="3">
        <f t="shared" si="13"/>
        <v>0</v>
      </c>
      <c r="CK26" s="3">
        <f t="shared" si="13"/>
        <v>0</v>
      </c>
      <c r="CL26" s="3">
        <f t="shared" si="13"/>
        <v>0</v>
      </c>
      <c r="CM26" s="3">
        <f t="shared" si="13"/>
        <v>0</v>
      </c>
      <c r="CN26" s="3">
        <f t="shared" si="13"/>
        <v>0</v>
      </c>
      <c r="CO26" s="3">
        <f t="shared" si="13"/>
        <v>0</v>
      </c>
      <c r="CP26" s="3">
        <f t="shared" si="13"/>
        <v>0</v>
      </c>
      <c r="CQ26" s="3">
        <f t="shared" si="13"/>
        <v>0</v>
      </c>
      <c r="CR26" s="3">
        <f t="shared" si="13"/>
        <v>0</v>
      </c>
      <c r="CS26" s="3">
        <f t="shared" si="13"/>
        <v>0</v>
      </c>
      <c r="CT26" s="3">
        <f t="shared" si="13"/>
        <v>0</v>
      </c>
      <c r="CU26" s="3">
        <f t="shared" si="13"/>
        <v>0</v>
      </c>
      <c r="CV26" s="3">
        <f t="shared" si="13"/>
        <v>0</v>
      </c>
      <c r="CW26" s="3">
        <f t="shared" si="13"/>
        <v>0</v>
      </c>
      <c r="CX26" s="3">
        <f t="shared" si="13"/>
        <v>0</v>
      </c>
      <c r="CY26" s="3">
        <f t="shared" si="13"/>
        <v>0</v>
      </c>
      <c r="CZ26" s="3">
        <f t="shared" si="13"/>
        <v>0</v>
      </c>
      <c r="DA26" s="3">
        <f t="shared" si="13"/>
        <v>0</v>
      </c>
      <c r="DB26" s="3">
        <f t="shared" si="13"/>
        <v>0</v>
      </c>
      <c r="DC26" s="3">
        <f t="shared" si="13"/>
        <v>0</v>
      </c>
      <c r="DD26" s="3">
        <f t="shared" si="13"/>
        <v>0</v>
      </c>
      <c r="DE26" s="3">
        <f t="shared" si="13"/>
        <v>0</v>
      </c>
      <c r="DF26" s="3">
        <f t="shared" si="13"/>
        <v>0</v>
      </c>
      <c r="DG26" s="3">
        <f aca="true" t="shared" si="14" ref="DG26:DN26">DG85</f>
        <v>0</v>
      </c>
      <c r="DH26" s="3">
        <f t="shared" si="14"/>
        <v>0</v>
      </c>
      <c r="DI26" s="3">
        <f t="shared" si="14"/>
        <v>0</v>
      </c>
      <c r="DJ26" s="3">
        <f t="shared" si="14"/>
        <v>0</v>
      </c>
      <c r="DK26" s="3">
        <f t="shared" si="14"/>
        <v>0</v>
      </c>
      <c r="DL26" s="3">
        <f t="shared" si="14"/>
        <v>0</v>
      </c>
      <c r="DM26" s="3">
        <f t="shared" si="14"/>
        <v>0</v>
      </c>
      <c r="DN26" s="3">
        <f t="shared" si="14"/>
        <v>0</v>
      </c>
    </row>
    <row r="28" spans="1:200" ht="12.75">
      <c r="A28">
        <v>17</v>
      </c>
      <c r="B28">
        <v>1</v>
      </c>
      <c r="C28">
        <f>ROW(SmtRes!A3)</f>
        <v>3</v>
      </c>
      <c r="D28">
        <f>ROW(EtalonRes!A3)</f>
        <v>3</v>
      </c>
      <c r="E28" t="s">
        <v>14</v>
      </c>
      <c r="F28" t="s">
        <v>15</v>
      </c>
      <c r="G28" t="s">
        <v>16</v>
      </c>
      <c r="H28" t="s">
        <v>17</v>
      </c>
      <c r="I28">
        <v>2</v>
      </c>
      <c r="J28">
        <v>0</v>
      </c>
      <c r="O28">
        <f aca="true" t="shared" si="15" ref="O28:O59">ROUND(CP28,2)</f>
        <v>2367.9</v>
      </c>
      <c r="P28">
        <f aca="true" t="shared" si="16" ref="P28:P59">ROUND(CQ28*I28,2)</f>
        <v>126.2</v>
      </c>
      <c r="Q28">
        <f aca="true" t="shared" si="17" ref="Q28:Q59">ROUND(CR28*I28,2)</f>
        <v>0</v>
      </c>
      <c r="R28">
        <f aca="true" t="shared" si="18" ref="R28:R59">ROUND(CS28*I28,2)</f>
        <v>0</v>
      </c>
      <c r="S28">
        <f aca="true" t="shared" si="19" ref="S28:S59">ROUND(CT28*I28,2)</f>
        <v>2241.7</v>
      </c>
      <c r="T28">
        <f aca="true" t="shared" si="20" ref="T28:T59">ROUND(CU28*I28,2)</f>
        <v>0</v>
      </c>
      <c r="U28">
        <f aca="true" t="shared" si="21" ref="U28:U59">CV28*I28</f>
        <v>12.56</v>
      </c>
      <c r="V28">
        <f aca="true" t="shared" si="22" ref="V28:V59">CW28*I28</f>
        <v>0</v>
      </c>
      <c r="W28">
        <f aca="true" t="shared" si="23" ref="W28:W59">ROUND(CX28*I28,2)</f>
        <v>0</v>
      </c>
      <c r="X28">
        <f aca="true" t="shared" si="24" ref="X28:X59">ROUND(CY28,2)</f>
        <v>1569.19</v>
      </c>
      <c r="Y28">
        <f aca="true" t="shared" si="25" ref="Y28:Y59">ROUND(CZ28,2)</f>
        <v>224.17</v>
      </c>
      <c r="AA28">
        <v>26615678</v>
      </c>
      <c r="AB28">
        <f aca="true" t="shared" si="26" ref="AB28:AB59">ROUND((AC28+AD28+AF28),6)</f>
        <v>1183.95</v>
      </c>
      <c r="AC28">
        <f aca="true" t="shared" si="27" ref="AC28:AC59">ROUND((ES28),6)</f>
        <v>63.1</v>
      </c>
      <c r="AD28">
        <f aca="true" t="shared" si="28" ref="AD28:AD59">ROUND((((ET28)-(EU28))+AE28),6)</f>
        <v>0</v>
      </c>
      <c r="AE28">
        <f aca="true" t="shared" si="29" ref="AE28:AE59">ROUND((EU28),6)</f>
        <v>0</v>
      </c>
      <c r="AF28">
        <f aca="true" t="shared" si="30" ref="AF28:AF59">ROUND((EV28),6)</f>
        <v>1120.85</v>
      </c>
      <c r="AG28">
        <f aca="true" t="shared" si="31" ref="AG28:AG59">ROUND((AP28),6)</f>
        <v>0</v>
      </c>
      <c r="AH28">
        <f aca="true" t="shared" si="32" ref="AH28:AH59">(EW28)</f>
        <v>6.28</v>
      </c>
      <c r="AI28">
        <f aca="true" t="shared" si="33" ref="AI28:AI59">(EX28)</f>
        <v>0</v>
      </c>
      <c r="AJ28">
        <f aca="true" t="shared" si="34" ref="AJ28:AJ59">ROUND((AS28),6)</f>
        <v>0</v>
      </c>
      <c r="AK28">
        <v>1183.95</v>
      </c>
      <c r="AL28">
        <v>63.1</v>
      </c>
      <c r="AM28">
        <v>0</v>
      </c>
      <c r="AN28">
        <v>0</v>
      </c>
      <c r="AO28">
        <v>1120.85</v>
      </c>
      <c r="AP28">
        <v>0</v>
      </c>
      <c r="AQ28">
        <v>6.28</v>
      </c>
      <c r="AR28">
        <v>0</v>
      </c>
      <c r="AS28">
        <v>0</v>
      </c>
      <c r="AT28">
        <v>70</v>
      </c>
      <c r="AU28">
        <v>10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4</v>
      </c>
      <c r="BJ28" t="s">
        <v>18</v>
      </c>
      <c r="BM28">
        <v>0</v>
      </c>
      <c r="BN28">
        <v>0</v>
      </c>
      <c r="BP28">
        <v>0</v>
      </c>
      <c r="BQ28">
        <v>1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70</v>
      </c>
      <c r="CA28">
        <v>10</v>
      </c>
      <c r="CF28">
        <v>0</v>
      </c>
      <c r="CG28">
        <v>0</v>
      </c>
      <c r="CM28">
        <v>0</v>
      </c>
      <c r="CO28">
        <v>0</v>
      </c>
      <c r="CP28">
        <f aca="true" t="shared" si="35" ref="CP28:CP59">(P28+Q28+S28)</f>
        <v>2367.8999999999996</v>
      </c>
      <c r="CQ28">
        <f aca="true" t="shared" si="36" ref="CQ28:CQ59">(AC28*BC28*AW28)</f>
        <v>63.1</v>
      </c>
      <c r="CR28">
        <f aca="true" t="shared" si="37" ref="CR28:CR59">((((ET28)*BB28-(EU28)*BS28)+AE28*BS28)*AV28)</f>
        <v>0</v>
      </c>
      <c r="CS28">
        <f aca="true" t="shared" si="38" ref="CS28:CS59">(AE28*BS28*AV28)</f>
        <v>0</v>
      </c>
      <c r="CT28">
        <f aca="true" t="shared" si="39" ref="CT28:CT59">(AF28*BA28*AV28)</f>
        <v>1120.85</v>
      </c>
      <c r="CU28">
        <f aca="true" t="shared" si="40" ref="CU28:CU59">AG28</f>
        <v>0</v>
      </c>
      <c r="CV28">
        <f aca="true" t="shared" si="41" ref="CV28:CV59">(AH28*AV28)</f>
        <v>6.28</v>
      </c>
      <c r="CW28">
        <f aca="true" t="shared" si="42" ref="CW28:CW59">AI28</f>
        <v>0</v>
      </c>
      <c r="CX28">
        <f aca="true" t="shared" si="43" ref="CX28:CX59">AJ28</f>
        <v>0</v>
      </c>
      <c r="CY28">
        <f aca="true" t="shared" si="44" ref="CY28:CY59">((S28*BZ28)/100)</f>
        <v>1569.19</v>
      </c>
      <c r="CZ28">
        <f aca="true" t="shared" si="45" ref="CZ28:CZ59">((S28*CA28)/100)</f>
        <v>224.17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17</v>
      </c>
      <c r="DW28" t="s">
        <v>17</v>
      </c>
      <c r="DX28">
        <v>1</v>
      </c>
      <c r="EE28">
        <v>25674155</v>
      </c>
      <c r="EF28">
        <v>1</v>
      </c>
      <c r="EG28" t="s">
        <v>19</v>
      </c>
      <c r="EH28">
        <v>0</v>
      </c>
      <c r="EJ28">
        <v>4</v>
      </c>
      <c r="EK28">
        <v>0</v>
      </c>
      <c r="EL28" t="s">
        <v>20</v>
      </c>
      <c r="EM28" t="s">
        <v>21</v>
      </c>
      <c r="EQ28">
        <v>0</v>
      </c>
      <c r="ER28">
        <v>1183.95</v>
      </c>
      <c r="ES28">
        <v>63.1</v>
      </c>
      <c r="ET28">
        <v>0</v>
      </c>
      <c r="EU28">
        <v>0</v>
      </c>
      <c r="EV28">
        <v>1120.85</v>
      </c>
      <c r="EW28">
        <v>6.28</v>
      </c>
      <c r="EX28">
        <v>0</v>
      </c>
      <c r="EY28">
        <v>0</v>
      </c>
      <c r="FQ28">
        <v>0</v>
      </c>
      <c r="FR28">
        <f aca="true" t="shared" si="46" ref="FR28:FR59">ROUND(IF(AND(BH28=3,BI28=3),P28,0),2)</f>
        <v>0</v>
      </c>
      <c r="FS28">
        <v>0</v>
      </c>
      <c r="FX28">
        <v>70</v>
      </c>
      <c r="FY28">
        <v>10</v>
      </c>
      <c r="GD28">
        <v>0</v>
      </c>
      <c r="GF28">
        <v>-213284252</v>
      </c>
      <c r="GG28">
        <v>2</v>
      </c>
      <c r="GH28">
        <v>1</v>
      </c>
      <c r="GI28">
        <v>-2</v>
      </c>
      <c r="GJ28">
        <v>0</v>
      </c>
      <c r="GK28">
        <f>ROUND(R28*(R12)/100,2)</f>
        <v>0</v>
      </c>
      <c r="GL28">
        <f aca="true" t="shared" si="47" ref="GL28:GL59">ROUND(IF(AND(BH28=3,BI28=3,FS28&lt;&gt;0),P28,0),2)</f>
        <v>0</v>
      </c>
      <c r="GM28">
        <f aca="true" t="shared" si="48" ref="GM28:GM59">O28+X28+Y28+GK28</f>
        <v>4161.26</v>
      </c>
      <c r="GN28">
        <f aca="true" t="shared" si="49" ref="GN28:GN59">ROUND(IF(OR(BI28=0,BI28=1),O28+X28+Y28+GK28,0),2)</f>
        <v>0</v>
      </c>
      <c r="GO28">
        <f aca="true" t="shared" si="50" ref="GO28:GO59">ROUND(IF(BI28=2,O28+X28+Y28+GK28,0),2)</f>
        <v>0</v>
      </c>
      <c r="GP28">
        <f aca="true" t="shared" si="51" ref="GP28:GP59">ROUND(IF(BI28=4,O28+X28+Y28+GK28,0),2)</f>
        <v>4161.26</v>
      </c>
      <c r="GR28">
        <v>0</v>
      </c>
    </row>
    <row r="29" spans="1:200" ht="12.75">
      <c r="A29">
        <v>18</v>
      </c>
      <c r="B29">
        <v>1</v>
      </c>
      <c r="C29">
        <v>3</v>
      </c>
      <c r="E29" t="s">
        <v>22</v>
      </c>
      <c r="F29" t="s">
        <v>23</v>
      </c>
      <c r="G29" t="s">
        <v>24</v>
      </c>
      <c r="H29" t="s">
        <v>25</v>
      </c>
      <c r="I29">
        <f>I28*J29</f>
        <v>2</v>
      </c>
      <c r="J29">
        <v>1</v>
      </c>
      <c r="O29">
        <f t="shared" si="15"/>
        <v>13542.38</v>
      </c>
      <c r="P29">
        <f t="shared" si="16"/>
        <v>13542.38</v>
      </c>
      <c r="Q29">
        <f t="shared" si="17"/>
        <v>0</v>
      </c>
      <c r="R29">
        <f t="shared" si="18"/>
        <v>0</v>
      </c>
      <c r="S29">
        <f t="shared" si="19"/>
        <v>0</v>
      </c>
      <c r="T29">
        <f t="shared" si="20"/>
        <v>0</v>
      </c>
      <c r="U29">
        <f t="shared" si="21"/>
        <v>0</v>
      </c>
      <c r="V29">
        <f t="shared" si="22"/>
        <v>0</v>
      </c>
      <c r="W29">
        <f t="shared" si="23"/>
        <v>0</v>
      </c>
      <c r="X29">
        <f t="shared" si="24"/>
        <v>0</v>
      </c>
      <c r="Y29">
        <f t="shared" si="25"/>
        <v>0</v>
      </c>
      <c r="AA29">
        <v>26615678</v>
      </c>
      <c r="AB29">
        <f t="shared" si="26"/>
        <v>6771.19</v>
      </c>
      <c r="AC29">
        <f t="shared" si="27"/>
        <v>6771.19</v>
      </c>
      <c r="AD29">
        <f t="shared" si="28"/>
        <v>0</v>
      </c>
      <c r="AE29">
        <f t="shared" si="29"/>
        <v>0</v>
      </c>
      <c r="AF29">
        <f t="shared" si="30"/>
        <v>0</v>
      </c>
      <c r="AG29">
        <f t="shared" si="31"/>
        <v>0</v>
      </c>
      <c r="AH29">
        <f t="shared" si="32"/>
        <v>0</v>
      </c>
      <c r="AI29">
        <f t="shared" si="33"/>
        <v>0</v>
      </c>
      <c r="AJ29">
        <f t="shared" si="34"/>
        <v>0</v>
      </c>
      <c r="AK29">
        <v>6771.19</v>
      </c>
      <c r="AL29">
        <v>6771.19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70</v>
      </c>
      <c r="AU29">
        <v>10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H29">
        <v>3</v>
      </c>
      <c r="BI29">
        <v>4</v>
      </c>
      <c r="BM29">
        <v>0</v>
      </c>
      <c r="BN29">
        <v>0</v>
      </c>
      <c r="BP29">
        <v>0</v>
      </c>
      <c r="BQ29">
        <v>1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70</v>
      </c>
      <c r="CA29">
        <v>10</v>
      </c>
      <c r="CF29">
        <v>0</v>
      </c>
      <c r="CG29">
        <v>0</v>
      </c>
      <c r="CM29">
        <v>0</v>
      </c>
      <c r="CO29">
        <v>0</v>
      </c>
      <c r="CP29">
        <f t="shared" si="35"/>
        <v>13542.38</v>
      </c>
      <c r="CQ29">
        <f t="shared" si="36"/>
        <v>6771.19</v>
      </c>
      <c r="CR29">
        <f t="shared" si="37"/>
        <v>0</v>
      </c>
      <c r="CS29">
        <f t="shared" si="38"/>
        <v>0</v>
      </c>
      <c r="CT29">
        <f t="shared" si="39"/>
        <v>0</v>
      </c>
      <c r="CU29">
        <f t="shared" si="40"/>
        <v>0</v>
      </c>
      <c r="CV29">
        <f t="shared" si="41"/>
        <v>0</v>
      </c>
      <c r="CW29">
        <f t="shared" si="42"/>
        <v>0</v>
      </c>
      <c r="CX29">
        <f t="shared" si="43"/>
        <v>0</v>
      </c>
      <c r="CY29">
        <f t="shared" si="44"/>
        <v>0</v>
      </c>
      <c r="CZ29">
        <f t="shared" si="45"/>
        <v>0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25</v>
      </c>
      <c r="DW29" t="s">
        <v>25</v>
      </c>
      <c r="DX29">
        <v>1</v>
      </c>
      <c r="EE29">
        <v>25674155</v>
      </c>
      <c r="EF29">
        <v>1</v>
      </c>
      <c r="EG29" t="s">
        <v>19</v>
      </c>
      <c r="EH29">
        <v>0</v>
      </c>
      <c r="EJ29">
        <v>4</v>
      </c>
      <c r="EK29">
        <v>0</v>
      </c>
      <c r="EL29" t="s">
        <v>20</v>
      </c>
      <c r="EM29" t="s">
        <v>21</v>
      </c>
      <c r="EQ29">
        <v>0</v>
      </c>
      <c r="ER29">
        <v>0</v>
      </c>
      <c r="ES29">
        <v>6771.19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1</v>
      </c>
      <c r="FD29">
        <v>18</v>
      </c>
      <c r="FF29">
        <v>7990</v>
      </c>
      <c r="FQ29">
        <v>0</v>
      </c>
      <c r="FR29">
        <f t="shared" si="46"/>
        <v>0</v>
      </c>
      <c r="FS29">
        <v>0</v>
      </c>
      <c r="FX29">
        <v>70</v>
      </c>
      <c r="FY29">
        <v>10</v>
      </c>
      <c r="GA29" t="s">
        <v>26</v>
      </c>
      <c r="GD29">
        <v>0</v>
      </c>
      <c r="GF29">
        <v>-1860548929</v>
      </c>
      <c r="GG29">
        <v>2</v>
      </c>
      <c r="GH29">
        <v>3</v>
      </c>
      <c r="GI29">
        <v>-2</v>
      </c>
      <c r="GJ29">
        <v>0</v>
      </c>
      <c r="GK29">
        <f>ROUND(R29*(R12)/100,2)</f>
        <v>0</v>
      </c>
      <c r="GL29">
        <f t="shared" si="47"/>
        <v>0</v>
      </c>
      <c r="GM29">
        <f t="shared" si="48"/>
        <v>13542.38</v>
      </c>
      <c r="GN29">
        <f t="shared" si="49"/>
        <v>0</v>
      </c>
      <c r="GO29">
        <f t="shared" si="50"/>
        <v>0</v>
      </c>
      <c r="GP29">
        <f t="shared" si="51"/>
        <v>13542.38</v>
      </c>
      <c r="GR29">
        <v>0</v>
      </c>
    </row>
    <row r="30" spans="1:200" ht="12.75">
      <c r="A30">
        <v>17</v>
      </c>
      <c r="B30">
        <v>1</v>
      </c>
      <c r="C30">
        <f>ROW(SmtRes!A15)</f>
        <v>15</v>
      </c>
      <c r="D30">
        <f>ROW(EtalonRes!A10)</f>
        <v>10</v>
      </c>
      <c r="E30" t="s">
        <v>27</v>
      </c>
      <c r="F30" t="s">
        <v>28</v>
      </c>
      <c r="G30" t="s">
        <v>29</v>
      </c>
      <c r="H30" t="s">
        <v>17</v>
      </c>
      <c r="I30">
        <v>204</v>
      </c>
      <c r="J30">
        <v>0</v>
      </c>
      <c r="O30">
        <f t="shared" si="15"/>
        <v>52197.48</v>
      </c>
      <c r="P30">
        <f t="shared" si="16"/>
        <v>5212.2</v>
      </c>
      <c r="Q30">
        <f t="shared" si="17"/>
        <v>1224</v>
      </c>
      <c r="R30">
        <f t="shared" si="18"/>
        <v>216.24</v>
      </c>
      <c r="S30">
        <f t="shared" si="19"/>
        <v>45761.28</v>
      </c>
      <c r="T30">
        <f t="shared" si="20"/>
        <v>0</v>
      </c>
      <c r="U30">
        <f t="shared" si="21"/>
        <v>250.92</v>
      </c>
      <c r="V30">
        <f t="shared" si="22"/>
        <v>0</v>
      </c>
      <c r="W30">
        <f t="shared" si="23"/>
        <v>0</v>
      </c>
      <c r="X30">
        <f t="shared" si="24"/>
        <v>32032.9</v>
      </c>
      <c r="Y30">
        <f t="shared" si="25"/>
        <v>4576.13</v>
      </c>
      <c r="AA30">
        <v>26615678</v>
      </c>
      <c r="AB30">
        <f t="shared" si="26"/>
        <v>255.87</v>
      </c>
      <c r="AC30">
        <f t="shared" si="27"/>
        <v>25.55</v>
      </c>
      <c r="AD30">
        <f t="shared" si="28"/>
        <v>6</v>
      </c>
      <c r="AE30">
        <f t="shared" si="29"/>
        <v>1.06</v>
      </c>
      <c r="AF30">
        <f t="shared" si="30"/>
        <v>224.32</v>
      </c>
      <c r="AG30">
        <f t="shared" si="31"/>
        <v>0</v>
      </c>
      <c r="AH30">
        <f t="shared" si="32"/>
        <v>1.23</v>
      </c>
      <c r="AI30">
        <f t="shared" si="33"/>
        <v>0</v>
      </c>
      <c r="AJ30">
        <f t="shared" si="34"/>
        <v>0</v>
      </c>
      <c r="AK30">
        <v>255.87</v>
      </c>
      <c r="AL30">
        <v>25.55</v>
      </c>
      <c r="AM30">
        <v>6</v>
      </c>
      <c r="AN30">
        <v>1.06</v>
      </c>
      <c r="AO30">
        <v>224.32</v>
      </c>
      <c r="AP30">
        <v>0</v>
      </c>
      <c r="AQ30">
        <v>1.23</v>
      </c>
      <c r="AR30">
        <v>0</v>
      </c>
      <c r="AS30">
        <v>0</v>
      </c>
      <c r="AT30">
        <v>70</v>
      </c>
      <c r="AU30">
        <v>10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4</v>
      </c>
      <c r="BJ30" t="s">
        <v>30</v>
      </c>
      <c r="BM30">
        <v>0</v>
      </c>
      <c r="BN30">
        <v>0</v>
      </c>
      <c r="BP30">
        <v>0</v>
      </c>
      <c r="BQ30">
        <v>1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70</v>
      </c>
      <c r="CA30">
        <v>10</v>
      </c>
      <c r="CF30">
        <v>0</v>
      </c>
      <c r="CG30">
        <v>0</v>
      </c>
      <c r="CM30">
        <v>0</v>
      </c>
      <c r="CO30">
        <v>0</v>
      </c>
      <c r="CP30">
        <f t="shared" si="35"/>
        <v>52197.479999999996</v>
      </c>
      <c r="CQ30">
        <f t="shared" si="36"/>
        <v>25.55</v>
      </c>
      <c r="CR30">
        <f t="shared" si="37"/>
        <v>6</v>
      </c>
      <c r="CS30">
        <f t="shared" si="38"/>
        <v>1.06</v>
      </c>
      <c r="CT30">
        <f t="shared" si="39"/>
        <v>224.32</v>
      </c>
      <c r="CU30">
        <f t="shared" si="40"/>
        <v>0</v>
      </c>
      <c r="CV30">
        <f t="shared" si="41"/>
        <v>1.23</v>
      </c>
      <c r="CW30">
        <f t="shared" si="42"/>
        <v>0</v>
      </c>
      <c r="CX30">
        <f t="shared" si="43"/>
        <v>0</v>
      </c>
      <c r="CY30">
        <f t="shared" si="44"/>
        <v>32032.896</v>
      </c>
      <c r="CZ30">
        <f t="shared" si="45"/>
        <v>4576.128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17</v>
      </c>
      <c r="DW30" t="s">
        <v>17</v>
      </c>
      <c r="DX30">
        <v>1</v>
      </c>
      <c r="EE30">
        <v>25674155</v>
      </c>
      <c r="EF30">
        <v>1</v>
      </c>
      <c r="EG30" t="s">
        <v>19</v>
      </c>
      <c r="EH30">
        <v>0</v>
      </c>
      <c r="EJ30">
        <v>4</v>
      </c>
      <c r="EK30">
        <v>0</v>
      </c>
      <c r="EL30" t="s">
        <v>20</v>
      </c>
      <c r="EM30" t="s">
        <v>21</v>
      </c>
      <c r="EQ30">
        <v>0</v>
      </c>
      <c r="ER30">
        <v>255.87</v>
      </c>
      <c r="ES30">
        <v>25.55</v>
      </c>
      <c r="ET30">
        <v>6</v>
      </c>
      <c r="EU30">
        <v>1.06</v>
      </c>
      <c r="EV30">
        <v>224.32</v>
      </c>
      <c r="EW30">
        <v>1.23</v>
      </c>
      <c r="EX30">
        <v>0</v>
      </c>
      <c r="EY30">
        <v>0</v>
      </c>
      <c r="FQ30">
        <v>0</v>
      </c>
      <c r="FR30">
        <f t="shared" si="46"/>
        <v>0</v>
      </c>
      <c r="FS30">
        <v>0</v>
      </c>
      <c r="FX30">
        <v>70</v>
      </c>
      <c r="FY30">
        <v>10</v>
      </c>
      <c r="GD30">
        <v>0</v>
      </c>
      <c r="GF30">
        <v>-1324010999</v>
      </c>
      <c r="GG30">
        <v>2</v>
      </c>
      <c r="GH30">
        <v>1</v>
      </c>
      <c r="GI30">
        <v>-2</v>
      </c>
      <c r="GJ30">
        <v>0</v>
      </c>
      <c r="GK30">
        <f>ROUND(R30*(R12)/100,2)</f>
        <v>233.54</v>
      </c>
      <c r="GL30">
        <f t="shared" si="47"/>
        <v>0</v>
      </c>
      <c r="GM30">
        <f t="shared" si="48"/>
        <v>89040.05</v>
      </c>
      <c r="GN30">
        <f t="shared" si="49"/>
        <v>0</v>
      </c>
      <c r="GO30">
        <f t="shared" si="50"/>
        <v>0</v>
      </c>
      <c r="GP30">
        <f t="shared" si="51"/>
        <v>89040.05</v>
      </c>
      <c r="GR30">
        <v>0</v>
      </c>
    </row>
    <row r="31" spans="1:200" ht="12.75">
      <c r="A31">
        <v>18</v>
      </c>
      <c r="B31">
        <v>1</v>
      </c>
      <c r="C31">
        <v>8</v>
      </c>
      <c r="E31" t="s">
        <v>31</v>
      </c>
      <c r="F31" t="s">
        <v>32</v>
      </c>
      <c r="G31" t="s">
        <v>33</v>
      </c>
      <c r="H31" t="s">
        <v>17</v>
      </c>
      <c r="I31">
        <f>I30*J31</f>
        <v>60</v>
      </c>
      <c r="J31">
        <v>0.29411764705882354</v>
      </c>
      <c r="O31">
        <f t="shared" si="15"/>
        <v>55650</v>
      </c>
      <c r="P31">
        <f t="shared" si="16"/>
        <v>55650</v>
      </c>
      <c r="Q31">
        <f t="shared" si="17"/>
        <v>0</v>
      </c>
      <c r="R31">
        <f t="shared" si="18"/>
        <v>0</v>
      </c>
      <c r="S31">
        <f t="shared" si="19"/>
        <v>0</v>
      </c>
      <c r="T31">
        <f t="shared" si="20"/>
        <v>0</v>
      </c>
      <c r="U31">
        <f t="shared" si="21"/>
        <v>0</v>
      </c>
      <c r="V31">
        <f t="shared" si="22"/>
        <v>0</v>
      </c>
      <c r="W31">
        <f t="shared" si="23"/>
        <v>0</v>
      </c>
      <c r="X31">
        <f t="shared" si="24"/>
        <v>0</v>
      </c>
      <c r="Y31">
        <f t="shared" si="25"/>
        <v>0</v>
      </c>
      <c r="AA31">
        <v>26615678</v>
      </c>
      <c r="AB31">
        <f t="shared" si="26"/>
        <v>927.5</v>
      </c>
      <c r="AC31">
        <f t="shared" si="27"/>
        <v>927.5</v>
      </c>
      <c r="AD31">
        <f t="shared" si="28"/>
        <v>0</v>
      </c>
      <c r="AE31">
        <f t="shared" si="29"/>
        <v>0</v>
      </c>
      <c r="AF31">
        <f t="shared" si="30"/>
        <v>0</v>
      </c>
      <c r="AG31">
        <f t="shared" si="31"/>
        <v>0</v>
      </c>
      <c r="AH31">
        <f t="shared" si="32"/>
        <v>0</v>
      </c>
      <c r="AI31">
        <f t="shared" si="33"/>
        <v>0</v>
      </c>
      <c r="AJ31">
        <f t="shared" si="34"/>
        <v>0</v>
      </c>
      <c r="AK31">
        <v>927.5</v>
      </c>
      <c r="AL31">
        <v>927.5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70</v>
      </c>
      <c r="AU31">
        <v>10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4</v>
      </c>
      <c r="BJ31" t="s">
        <v>34</v>
      </c>
      <c r="BM31">
        <v>0</v>
      </c>
      <c r="BN31">
        <v>0</v>
      </c>
      <c r="BP31">
        <v>0</v>
      </c>
      <c r="BQ31">
        <v>1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70</v>
      </c>
      <c r="CA31">
        <v>10</v>
      </c>
      <c r="CF31">
        <v>0</v>
      </c>
      <c r="CG31">
        <v>0</v>
      </c>
      <c r="CM31">
        <v>0</v>
      </c>
      <c r="CO31">
        <v>0</v>
      </c>
      <c r="CP31">
        <f t="shared" si="35"/>
        <v>55650</v>
      </c>
      <c r="CQ31">
        <f t="shared" si="36"/>
        <v>927.5</v>
      </c>
      <c r="CR31">
        <f t="shared" si="37"/>
        <v>0</v>
      </c>
      <c r="CS31">
        <f t="shared" si="38"/>
        <v>0</v>
      </c>
      <c r="CT31">
        <f t="shared" si="39"/>
        <v>0</v>
      </c>
      <c r="CU31">
        <f t="shared" si="40"/>
        <v>0</v>
      </c>
      <c r="CV31">
        <f t="shared" si="41"/>
        <v>0</v>
      </c>
      <c r="CW31">
        <f t="shared" si="42"/>
        <v>0</v>
      </c>
      <c r="CX31">
        <f t="shared" si="43"/>
        <v>0</v>
      </c>
      <c r="CY31">
        <f t="shared" si="44"/>
        <v>0</v>
      </c>
      <c r="CZ31">
        <f t="shared" si="45"/>
        <v>0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17</v>
      </c>
      <c r="DW31" t="s">
        <v>17</v>
      </c>
      <c r="DX31">
        <v>1</v>
      </c>
      <c r="EE31">
        <v>25674155</v>
      </c>
      <c r="EF31">
        <v>1</v>
      </c>
      <c r="EG31" t="s">
        <v>19</v>
      </c>
      <c r="EH31">
        <v>0</v>
      </c>
      <c r="EJ31">
        <v>4</v>
      </c>
      <c r="EK31">
        <v>0</v>
      </c>
      <c r="EL31" t="s">
        <v>20</v>
      </c>
      <c r="EM31" t="s">
        <v>21</v>
      </c>
      <c r="EQ31">
        <v>0</v>
      </c>
      <c r="ER31">
        <v>927.5</v>
      </c>
      <c r="ES31">
        <v>927.5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6"/>
        <v>0</v>
      </c>
      <c r="FS31">
        <v>0</v>
      </c>
      <c r="FX31">
        <v>70</v>
      </c>
      <c r="FY31">
        <v>10</v>
      </c>
      <c r="GD31">
        <v>0</v>
      </c>
      <c r="GF31">
        <v>-2070765893</v>
      </c>
      <c r="GG31">
        <v>2</v>
      </c>
      <c r="GH31">
        <v>1</v>
      </c>
      <c r="GI31">
        <v>-2</v>
      </c>
      <c r="GJ31">
        <v>0</v>
      </c>
      <c r="GK31">
        <f>ROUND(R31*(R12)/100,2)</f>
        <v>0</v>
      </c>
      <c r="GL31">
        <f t="shared" si="47"/>
        <v>0</v>
      </c>
      <c r="GM31">
        <f t="shared" si="48"/>
        <v>55650</v>
      </c>
      <c r="GN31">
        <f t="shared" si="49"/>
        <v>0</v>
      </c>
      <c r="GO31">
        <f t="shared" si="50"/>
        <v>0</v>
      </c>
      <c r="GP31">
        <f t="shared" si="51"/>
        <v>55650</v>
      </c>
      <c r="GR31">
        <v>0</v>
      </c>
    </row>
    <row r="32" spans="1:200" ht="12.75">
      <c r="A32">
        <v>18</v>
      </c>
      <c r="B32">
        <v>1</v>
      </c>
      <c r="C32">
        <v>9</v>
      </c>
      <c r="E32" t="s">
        <v>35</v>
      </c>
      <c r="F32" t="s">
        <v>36</v>
      </c>
      <c r="G32" t="s">
        <v>37</v>
      </c>
      <c r="H32" t="s">
        <v>17</v>
      </c>
      <c r="I32">
        <f>I30*J32</f>
        <v>130</v>
      </c>
      <c r="J32">
        <v>0.6372549019607843</v>
      </c>
      <c r="O32">
        <f t="shared" si="15"/>
        <v>72697.3</v>
      </c>
      <c r="P32">
        <f t="shared" si="16"/>
        <v>72697.3</v>
      </c>
      <c r="Q32">
        <f t="shared" si="17"/>
        <v>0</v>
      </c>
      <c r="R32">
        <f t="shared" si="18"/>
        <v>0</v>
      </c>
      <c r="S32">
        <f t="shared" si="19"/>
        <v>0</v>
      </c>
      <c r="T32">
        <f t="shared" si="20"/>
        <v>0</v>
      </c>
      <c r="U32">
        <f t="shared" si="21"/>
        <v>0</v>
      </c>
      <c r="V32">
        <f t="shared" si="22"/>
        <v>0</v>
      </c>
      <c r="W32">
        <f t="shared" si="23"/>
        <v>0</v>
      </c>
      <c r="X32">
        <f t="shared" si="24"/>
        <v>0</v>
      </c>
      <c r="Y32">
        <f t="shared" si="25"/>
        <v>0</v>
      </c>
      <c r="AA32">
        <v>26615678</v>
      </c>
      <c r="AB32">
        <f t="shared" si="26"/>
        <v>559.21</v>
      </c>
      <c r="AC32">
        <f t="shared" si="27"/>
        <v>559.21</v>
      </c>
      <c r="AD32">
        <f t="shared" si="28"/>
        <v>0</v>
      </c>
      <c r="AE32">
        <f t="shared" si="29"/>
        <v>0</v>
      </c>
      <c r="AF32">
        <f t="shared" si="30"/>
        <v>0</v>
      </c>
      <c r="AG32">
        <f t="shared" si="31"/>
        <v>0</v>
      </c>
      <c r="AH32">
        <f t="shared" si="32"/>
        <v>0</v>
      </c>
      <c r="AI32">
        <f t="shared" si="33"/>
        <v>0</v>
      </c>
      <c r="AJ32">
        <f t="shared" si="34"/>
        <v>0</v>
      </c>
      <c r="AK32">
        <v>559.21</v>
      </c>
      <c r="AL32">
        <v>559.21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70</v>
      </c>
      <c r="AU32">
        <v>10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3</v>
      </c>
      <c r="BI32">
        <v>4</v>
      </c>
      <c r="BJ32" t="s">
        <v>38</v>
      </c>
      <c r="BM32">
        <v>0</v>
      </c>
      <c r="BN32">
        <v>0</v>
      </c>
      <c r="BP32">
        <v>0</v>
      </c>
      <c r="BQ32">
        <v>1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70</v>
      </c>
      <c r="CA32">
        <v>10</v>
      </c>
      <c r="CF32">
        <v>0</v>
      </c>
      <c r="CG32">
        <v>0</v>
      </c>
      <c r="CM32">
        <v>0</v>
      </c>
      <c r="CO32">
        <v>0</v>
      </c>
      <c r="CP32">
        <f t="shared" si="35"/>
        <v>72697.3</v>
      </c>
      <c r="CQ32">
        <f t="shared" si="36"/>
        <v>559.21</v>
      </c>
      <c r="CR32">
        <f t="shared" si="37"/>
        <v>0</v>
      </c>
      <c r="CS32">
        <f t="shared" si="38"/>
        <v>0</v>
      </c>
      <c r="CT32">
        <f t="shared" si="39"/>
        <v>0</v>
      </c>
      <c r="CU32">
        <f t="shared" si="40"/>
        <v>0</v>
      </c>
      <c r="CV32">
        <f t="shared" si="41"/>
        <v>0</v>
      </c>
      <c r="CW32">
        <f t="shared" si="42"/>
        <v>0</v>
      </c>
      <c r="CX32">
        <f t="shared" si="43"/>
        <v>0</v>
      </c>
      <c r="CY32">
        <f t="shared" si="44"/>
        <v>0</v>
      </c>
      <c r="CZ32">
        <f t="shared" si="45"/>
        <v>0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17</v>
      </c>
      <c r="DW32" t="s">
        <v>17</v>
      </c>
      <c r="DX32">
        <v>1</v>
      </c>
      <c r="EE32">
        <v>25674155</v>
      </c>
      <c r="EF32">
        <v>1</v>
      </c>
      <c r="EG32" t="s">
        <v>19</v>
      </c>
      <c r="EH32">
        <v>0</v>
      </c>
      <c r="EJ32">
        <v>4</v>
      </c>
      <c r="EK32">
        <v>0</v>
      </c>
      <c r="EL32" t="s">
        <v>20</v>
      </c>
      <c r="EM32" t="s">
        <v>21</v>
      </c>
      <c r="EQ32">
        <v>0</v>
      </c>
      <c r="ER32">
        <v>559.21</v>
      </c>
      <c r="ES32">
        <v>559.21</v>
      </c>
      <c r="ET32">
        <v>0</v>
      </c>
      <c r="EU32">
        <v>0</v>
      </c>
      <c r="EV32">
        <v>0</v>
      </c>
      <c r="EW32">
        <v>0</v>
      </c>
      <c r="EX32">
        <v>0</v>
      </c>
      <c r="FQ32">
        <v>0</v>
      </c>
      <c r="FR32">
        <f t="shared" si="46"/>
        <v>0</v>
      </c>
      <c r="FS32">
        <v>0</v>
      </c>
      <c r="FX32">
        <v>70</v>
      </c>
      <c r="FY32">
        <v>10</v>
      </c>
      <c r="GD32">
        <v>0</v>
      </c>
      <c r="GF32">
        <v>331926184</v>
      </c>
      <c r="GG32">
        <v>2</v>
      </c>
      <c r="GH32">
        <v>1</v>
      </c>
      <c r="GI32">
        <v>-2</v>
      </c>
      <c r="GJ32">
        <v>0</v>
      </c>
      <c r="GK32">
        <f>ROUND(R32*(R12)/100,2)</f>
        <v>0</v>
      </c>
      <c r="GL32">
        <f t="shared" si="47"/>
        <v>0</v>
      </c>
      <c r="GM32">
        <f t="shared" si="48"/>
        <v>72697.3</v>
      </c>
      <c r="GN32">
        <f t="shared" si="49"/>
        <v>0</v>
      </c>
      <c r="GO32">
        <f t="shared" si="50"/>
        <v>0</v>
      </c>
      <c r="GP32">
        <f t="shared" si="51"/>
        <v>72697.3</v>
      </c>
      <c r="GR32">
        <v>0</v>
      </c>
    </row>
    <row r="33" spans="1:200" ht="12.75">
      <c r="A33">
        <v>18</v>
      </c>
      <c r="B33">
        <v>1</v>
      </c>
      <c r="C33">
        <v>12</v>
      </c>
      <c r="E33" t="s">
        <v>39</v>
      </c>
      <c r="F33" t="s">
        <v>40</v>
      </c>
      <c r="G33" t="s">
        <v>41</v>
      </c>
      <c r="H33" t="s">
        <v>17</v>
      </c>
      <c r="I33">
        <f>I30*J33</f>
        <v>4</v>
      </c>
      <c r="J33">
        <v>0.0196078431372549</v>
      </c>
      <c r="O33">
        <f t="shared" si="15"/>
        <v>1773.24</v>
      </c>
      <c r="P33">
        <f t="shared" si="16"/>
        <v>1773.24</v>
      </c>
      <c r="Q33">
        <f t="shared" si="17"/>
        <v>0</v>
      </c>
      <c r="R33">
        <f t="shared" si="18"/>
        <v>0</v>
      </c>
      <c r="S33">
        <f t="shared" si="19"/>
        <v>0</v>
      </c>
      <c r="T33">
        <f t="shared" si="20"/>
        <v>0</v>
      </c>
      <c r="U33">
        <f t="shared" si="21"/>
        <v>0</v>
      </c>
      <c r="V33">
        <f t="shared" si="22"/>
        <v>0</v>
      </c>
      <c r="W33">
        <f t="shared" si="23"/>
        <v>0</v>
      </c>
      <c r="X33">
        <f t="shared" si="24"/>
        <v>0</v>
      </c>
      <c r="Y33">
        <f t="shared" si="25"/>
        <v>0</v>
      </c>
      <c r="AA33">
        <v>26615678</v>
      </c>
      <c r="AB33">
        <f t="shared" si="26"/>
        <v>443.31</v>
      </c>
      <c r="AC33">
        <f t="shared" si="27"/>
        <v>443.31</v>
      </c>
      <c r="AD33">
        <f t="shared" si="28"/>
        <v>0</v>
      </c>
      <c r="AE33">
        <f t="shared" si="29"/>
        <v>0</v>
      </c>
      <c r="AF33">
        <f t="shared" si="30"/>
        <v>0</v>
      </c>
      <c r="AG33">
        <f t="shared" si="31"/>
        <v>0</v>
      </c>
      <c r="AH33">
        <f t="shared" si="32"/>
        <v>0</v>
      </c>
      <c r="AI33">
        <f t="shared" si="33"/>
        <v>0</v>
      </c>
      <c r="AJ33">
        <f t="shared" si="34"/>
        <v>0</v>
      </c>
      <c r="AK33">
        <v>443.31</v>
      </c>
      <c r="AL33">
        <v>443.31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70</v>
      </c>
      <c r="AU33">
        <v>10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4</v>
      </c>
      <c r="BJ33" t="s">
        <v>42</v>
      </c>
      <c r="BM33">
        <v>0</v>
      </c>
      <c r="BN33">
        <v>0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70</v>
      </c>
      <c r="CA33">
        <v>10</v>
      </c>
      <c r="CF33">
        <v>0</v>
      </c>
      <c r="CG33">
        <v>0</v>
      </c>
      <c r="CM33">
        <v>0</v>
      </c>
      <c r="CO33">
        <v>0</v>
      </c>
      <c r="CP33">
        <f t="shared" si="35"/>
        <v>1773.24</v>
      </c>
      <c r="CQ33">
        <f t="shared" si="36"/>
        <v>443.31</v>
      </c>
      <c r="CR33">
        <f t="shared" si="37"/>
        <v>0</v>
      </c>
      <c r="CS33">
        <f t="shared" si="38"/>
        <v>0</v>
      </c>
      <c r="CT33">
        <f t="shared" si="39"/>
        <v>0</v>
      </c>
      <c r="CU33">
        <f t="shared" si="40"/>
        <v>0</v>
      </c>
      <c r="CV33">
        <f t="shared" si="41"/>
        <v>0</v>
      </c>
      <c r="CW33">
        <f t="shared" si="42"/>
        <v>0</v>
      </c>
      <c r="CX33">
        <f t="shared" si="43"/>
        <v>0</v>
      </c>
      <c r="CY33">
        <f t="shared" si="44"/>
        <v>0</v>
      </c>
      <c r="CZ33">
        <f t="shared" si="45"/>
        <v>0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17</v>
      </c>
      <c r="DW33" t="s">
        <v>17</v>
      </c>
      <c r="DX33">
        <v>1</v>
      </c>
      <c r="EE33">
        <v>25674155</v>
      </c>
      <c r="EF33">
        <v>1</v>
      </c>
      <c r="EG33" t="s">
        <v>19</v>
      </c>
      <c r="EH33">
        <v>0</v>
      </c>
      <c r="EJ33">
        <v>4</v>
      </c>
      <c r="EK33">
        <v>0</v>
      </c>
      <c r="EL33" t="s">
        <v>20</v>
      </c>
      <c r="EM33" t="s">
        <v>21</v>
      </c>
      <c r="EQ33">
        <v>0</v>
      </c>
      <c r="ER33">
        <v>443.31</v>
      </c>
      <c r="ES33">
        <v>443.31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6"/>
        <v>0</v>
      </c>
      <c r="FS33">
        <v>0</v>
      </c>
      <c r="FX33">
        <v>70</v>
      </c>
      <c r="FY33">
        <v>10</v>
      </c>
      <c r="GD33">
        <v>0</v>
      </c>
      <c r="GF33">
        <v>1042904183</v>
      </c>
      <c r="GG33">
        <v>2</v>
      </c>
      <c r="GH33">
        <v>1</v>
      </c>
      <c r="GI33">
        <v>-2</v>
      </c>
      <c r="GJ33">
        <v>0</v>
      </c>
      <c r="GK33">
        <f>ROUND(R33*(R12)/100,2)</f>
        <v>0</v>
      </c>
      <c r="GL33">
        <f t="shared" si="47"/>
        <v>0</v>
      </c>
      <c r="GM33">
        <f t="shared" si="48"/>
        <v>1773.24</v>
      </c>
      <c r="GN33">
        <f t="shared" si="49"/>
        <v>0</v>
      </c>
      <c r="GO33">
        <f t="shared" si="50"/>
        <v>0</v>
      </c>
      <c r="GP33">
        <f t="shared" si="51"/>
        <v>1773.24</v>
      </c>
      <c r="GR33">
        <v>0</v>
      </c>
    </row>
    <row r="34" spans="1:200" ht="12.75">
      <c r="A34">
        <v>18</v>
      </c>
      <c r="B34">
        <v>1</v>
      </c>
      <c r="C34">
        <v>10</v>
      </c>
      <c r="E34" t="s">
        <v>43</v>
      </c>
      <c r="F34" t="s">
        <v>44</v>
      </c>
      <c r="G34" t="s">
        <v>45</v>
      </c>
      <c r="H34" t="s">
        <v>17</v>
      </c>
      <c r="I34">
        <f>I30*J34</f>
        <v>1</v>
      </c>
      <c r="J34">
        <v>0.004901960784313725</v>
      </c>
      <c r="O34">
        <f t="shared" si="15"/>
        <v>328.69</v>
      </c>
      <c r="P34">
        <f t="shared" si="16"/>
        <v>328.69</v>
      </c>
      <c r="Q34">
        <f t="shared" si="17"/>
        <v>0</v>
      </c>
      <c r="R34">
        <f t="shared" si="18"/>
        <v>0</v>
      </c>
      <c r="S34">
        <f t="shared" si="19"/>
        <v>0</v>
      </c>
      <c r="T34">
        <f t="shared" si="20"/>
        <v>0</v>
      </c>
      <c r="U34">
        <f t="shared" si="21"/>
        <v>0</v>
      </c>
      <c r="V34">
        <f t="shared" si="22"/>
        <v>0</v>
      </c>
      <c r="W34">
        <f t="shared" si="23"/>
        <v>0</v>
      </c>
      <c r="X34">
        <f t="shared" si="24"/>
        <v>0</v>
      </c>
      <c r="Y34">
        <f t="shared" si="25"/>
        <v>0</v>
      </c>
      <c r="AA34">
        <v>26615678</v>
      </c>
      <c r="AB34">
        <f t="shared" si="26"/>
        <v>328.69</v>
      </c>
      <c r="AC34">
        <f t="shared" si="27"/>
        <v>328.69</v>
      </c>
      <c r="AD34">
        <f t="shared" si="28"/>
        <v>0</v>
      </c>
      <c r="AE34">
        <f t="shared" si="29"/>
        <v>0</v>
      </c>
      <c r="AF34">
        <f t="shared" si="30"/>
        <v>0</v>
      </c>
      <c r="AG34">
        <f t="shared" si="31"/>
        <v>0</v>
      </c>
      <c r="AH34">
        <f t="shared" si="32"/>
        <v>0</v>
      </c>
      <c r="AI34">
        <f t="shared" si="33"/>
        <v>0</v>
      </c>
      <c r="AJ34">
        <f t="shared" si="34"/>
        <v>0</v>
      </c>
      <c r="AK34">
        <v>328.69</v>
      </c>
      <c r="AL34">
        <v>328.69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70</v>
      </c>
      <c r="AU34">
        <v>10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3</v>
      </c>
      <c r="BI34">
        <v>4</v>
      </c>
      <c r="BJ34" t="s">
        <v>46</v>
      </c>
      <c r="BM34">
        <v>0</v>
      </c>
      <c r="BN34">
        <v>0</v>
      </c>
      <c r="BP34">
        <v>0</v>
      </c>
      <c r="BQ34">
        <v>1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70</v>
      </c>
      <c r="CA34">
        <v>10</v>
      </c>
      <c r="CF34">
        <v>0</v>
      </c>
      <c r="CG34">
        <v>0</v>
      </c>
      <c r="CM34">
        <v>0</v>
      </c>
      <c r="CO34">
        <v>0</v>
      </c>
      <c r="CP34">
        <f t="shared" si="35"/>
        <v>328.69</v>
      </c>
      <c r="CQ34">
        <f t="shared" si="36"/>
        <v>328.69</v>
      </c>
      <c r="CR34">
        <f t="shared" si="37"/>
        <v>0</v>
      </c>
      <c r="CS34">
        <f t="shared" si="38"/>
        <v>0</v>
      </c>
      <c r="CT34">
        <f t="shared" si="39"/>
        <v>0</v>
      </c>
      <c r="CU34">
        <f t="shared" si="40"/>
        <v>0</v>
      </c>
      <c r="CV34">
        <f t="shared" si="41"/>
        <v>0</v>
      </c>
      <c r="CW34">
        <f t="shared" si="42"/>
        <v>0</v>
      </c>
      <c r="CX34">
        <f t="shared" si="43"/>
        <v>0</v>
      </c>
      <c r="CY34">
        <f t="shared" si="44"/>
        <v>0</v>
      </c>
      <c r="CZ34">
        <f t="shared" si="45"/>
        <v>0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17</v>
      </c>
      <c r="DW34" t="s">
        <v>17</v>
      </c>
      <c r="DX34">
        <v>1</v>
      </c>
      <c r="EE34">
        <v>25674155</v>
      </c>
      <c r="EF34">
        <v>1</v>
      </c>
      <c r="EG34" t="s">
        <v>19</v>
      </c>
      <c r="EH34">
        <v>0</v>
      </c>
      <c r="EJ34">
        <v>4</v>
      </c>
      <c r="EK34">
        <v>0</v>
      </c>
      <c r="EL34" t="s">
        <v>20</v>
      </c>
      <c r="EM34" t="s">
        <v>21</v>
      </c>
      <c r="EQ34">
        <v>0</v>
      </c>
      <c r="ER34">
        <v>328.69</v>
      </c>
      <c r="ES34">
        <v>328.69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46"/>
        <v>0</v>
      </c>
      <c r="FS34">
        <v>0</v>
      </c>
      <c r="FX34">
        <v>70</v>
      </c>
      <c r="FY34">
        <v>10</v>
      </c>
      <c r="GD34">
        <v>0</v>
      </c>
      <c r="GF34">
        <v>-1479987233</v>
      </c>
      <c r="GG34">
        <v>2</v>
      </c>
      <c r="GH34">
        <v>1</v>
      </c>
      <c r="GI34">
        <v>-2</v>
      </c>
      <c r="GJ34">
        <v>0</v>
      </c>
      <c r="GK34">
        <f>ROUND(R34*(R12)/100,2)</f>
        <v>0</v>
      </c>
      <c r="GL34">
        <f t="shared" si="47"/>
        <v>0</v>
      </c>
      <c r="GM34">
        <f t="shared" si="48"/>
        <v>328.69</v>
      </c>
      <c r="GN34">
        <f t="shared" si="49"/>
        <v>0</v>
      </c>
      <c r="GO34">
        <f t="shared" si="50"/>
        <v>0</v>
      </c>
      <c r="GP34">
        <f t="shared" si="51"/>
        <v>328.69</v>
      </c>
      <c r="GR34">
        <v>0</v>
      </c>
    </row>
    <row r="35" spans="1:200" ht="12.75">
      <c r="A35">
        <v>18</v>
      </c>
      <c r="B35">
        <v>1</v>
      </c>
      <c r="C35">
        <v>13</v>
      </c>
      <c r="E35" t="s">
        <v>47</v>
      </c>
      <c r="F35" t="s">
        <v>48</v>
      </c>
      <c r="G35" t="s">
        <v>49</v>
      </c>
      <c r="H35" t="s">
        <v>17</v>
      </c>
      <c r="I35">
        <f>I30*J35</f>
        <v>8</v>
      </c>
      <c r="J35">
        <v>0.0392156862745098</v>
      </c>
      <c r="O35">
        <f t="shared" si="15"/>
        <v>5268</v>
      </c>
      <c r="P35">
        <f t="shared" si="16"/>
        <v>5268</v>
      </c>
      <c r="Q35">
        <f t="shared" si="17"/>
        <v>0</v>
      </c>
      <c r="R35">
        <f t="shared" si="18"/>
        <v>0</v>
      </c>
      <c r="S35">
        <f t="shared" si="19"/>
        <v>0</v>
      </c>
      <c r="T35">
        <f t="shared" si="20"/>
        <v>0</v>
      </c>
      <c r="U35">
        <f t="shared" si="21"/>
        <v>0</v>
      </c>
      <c r="V35">
        <f t="shared" si="22"/>
        <v>0</v>
      </c>
      <c r="W35">
        <f t="shared" si="23"/>
        <v>0</v>
      </c>
      <c r="X35">
        <f t="shared" si="24"/>
        <v>0</v>
      </c>
      <c r="Y35">
        <f t="shared" si="25"/>
        <v>0</v>
      </c>
      <c r="AA35">
        <v>26615678</v>
      </c>
      <c r="AB35">
        <f t="shared" si="26"/>
        <v>658.5</v>
      </c>
      <c r="AC35">
        <f t="shared" si="27"/>
        <v>658.5</v>
      </c>
      <c r="AD35">
        <f t="shared" si="28"/>
        <v>0</v>
      </c>
      <c r="AE35">
        <f t="shared" si="29"/>
        <v>0</v>
      </c>
      <c r="AF35">
        <f t="shared" si="30"/>
        <v>0</v>
      </c>
      <c r="AG35">
        <f t="shared" si="31"/>
        <v>0</v>
      </c>
      <c r="AH35">
        <f t="shared" si="32"/>
        <v>0</v>
      </c>
      <c r="AI35">
        <f t="shared" si="33"/>
        <v>0</v>
      </c>
      <c r="AJ35">
        <f t="shared" si="34"/>
        <v>0</v>
      </c>
      <c r="AK35">
        <v>658.5</v>
      </c>
      <c r="AL35">
        <v>658.5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70</v>
      </c>
      <c r="AU35">
        <v>10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3</v>
      </c>
      <c r="BI35">
        <v>4</v>
      </c>
      <c r="BJ35" t="s">
        <v>50</v>
      </c>
      <c r="BM35">
        <v>0</v>
      </c>
      <c r="BN35">
        <v>0</v>
      </c>
      <c r="BP35">
        <v>0</v>
      </c>
      <c r="BQ35">
        <v>1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70</v>
      </c>
      <c r="CA35">
        <v>10</v>
      </c>
      <c r="CF35">
        <v>0</v>
      </c>
      <c r="CG35">
        <v>0</v>
      </c>
      <c r="CM35">
        <v>0</v>
      </c>
      <c r="CO35">
        <v>0</v>
      </c>
      <c r="CP35">
        <f t="shared" si="35"/>
        <v>5268</v>
      </c>
      <c r="CQ35">
        <f t="shared" si="36"/>
        <v>658.5</v>
      </c>
      <c r="CR35">
        <f t="shared" si="37"/>
        <v>0</v>
      </c>
      <c r="CS35">
        <f t="shared" si="38"/>
        <v>0</v>
      </c>
      <c r="CT35">
        <f t="shared" si="39"/>
        <v>0</v>
      </c>
      <c r="CU35">
        <f t="shared" si="40"/>
        <v>0</v>
      </c>
      <c r="CV35">
        <f t="shared" si="41"/>
        <v>0</v>
      </c>
      <c r="CW35">
        <f t="shared" si="42"/>
        <v>0</v>
      </c>
      <c r="CX35">
        <f t="shared" si="43"/>
        <v>0</v>
      </c>
      <c r="CY35">
        <f t="shared" si="44"/>
        <v>0</v>
      </c>
      <c r="CZ35">
        <f t="shared" si="45"/>
        <v>0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17</v>
      </c>
      <c r="DW35" t="s">
        <v>17</v>
      </c>
      <c r="DX35">
        <v>1</v>
      </c>
      <c r="EE35">
        <v>25674155</v>
      </c>
      <c r="EF35">
        <v>1</v>
      </c>
      <c r="EG35" t="s">
        <v>19</v>
      </c>
      <c r="EH35">
        <v>0</v>
      </c>
      <c r="EJ35">
        <v>4</v>
      </c>
      <c r="EK35">
        <v>0</v>
      </c>
      <c r="EL35" t="s">
        <v>20</v>
      </c>
      <c r="EM35" t="s">
        <v>21</v>
      </c>
      <c r="EQ35">
        <v>0</v>
      </c>
      <c r="ER35">
        <v>658.5</v>
      </c>
      <c r="ES35">
        <v>658.5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6"/>
        <v>0</v>
      </c>
      <c r="FS35">
        <v>0</v>
      </c>
      <c r="FX35">
        <v>70</v>
      </c>
      <c r="FY35">
        <v>10</v>
      </c>
      <c r="GD35">
        <v>0</v>
      </c>
      <c r="GF35">
        <v>-1882413973</v>
      </c>
      <c r="GG35">
        <v>2</v>
      </c>
      <c r="GH35">
        <v>1</v>
      </c>
      <c r="GI35">
        <v>-2</v>
      </c>
      <c r="GJ35">
        <v>0</v>
      </c>
      <c r="GK35">
        <f>ROUND(R35*(R12)/100,2)</f>
        <v>0</v>
      </c>
      <c r="GL35">
        <f t="shared" si="47"/>
        <v>0</v>
      </c>
      <c r="GM35">
        <f t="shared" si="48"/>
        <v>5268</v>
      </c>
      <c r="GN35">
        <f t="shared" si="49"/>
        <v>0</v>
      </c>
      <c r="GO35">
        <f t="shared" si="50"/>
        <v>0</v>
      </c>
      <c r="GP35">
        <f t="shared" si="51"/>
        <v>5268</v>
      </c>
      <c r="GR35">
        <v>0</v>
      </c>
    </row>
    <row r="36" spans="1:200" ht="12.75">
      <c r="A36">
        <v>18</v>
      </c>
      <c r="B36">
        <v>1</v>
      </c>
      <c r="C36">
        <v>11</v>
      </c>
      <c r="E36" t="s">
        <v>51</v>
      </c>
      <c r="F36" t="s">
        <v>52</v>
      </c>
      <c r="G36" t="s">
        <v>53</v>
      </c>
      <c r="H36" t="s">
        <v>17</v>
      </c>
      <c r="I36">
        <f>I30*J36</f>
        <v>1</v>
      </c>
      <c r="J36">
        <v>0.004901960784313725</v>
      </c>
      <c r="O36">
        <f t="shared" si="15"/>
        <v>425.16</v>
      </c>
      <c r="P36">
        <f t="shared" si="16"/>
        <v>425.16</v>
      </c>
      <c r="Q36">
        <f t="shared" si="17"/>
        <v>0</v>
      </c>
      <c r="R36">
        <f t="shared" si="18"/>
        <v>0</v>
      </c>
      <c r="S36">
        <f t="shared" si="19"/>
        <v>0</v>
      </c>
      <c r="T36">
        <f t="shared" si="20"/>
        <v>0</v>
      </c>
      <c r="U36">
        <f t="shared" si="21"/>
        <v>0</v>
      </c>
      <c r="V36">
        <f t="shared" si="22"/>
        <v>0</v>
      </c>
      <c r="W36">
        <f t="shared" si="23"/>
        <v>0</v>
      </c>
      <c r="X36">
        <f t="shared" si="24"/>
        <v>0</v>
      </c>
      <c r="Y36">
        <f t="shared" si="25"/>
        <v>0</v>
      </c>
      <c r="AA36">
        <v>26615678</v>
      </c>
      <c r="AB36">
        <f t="shared" si="26"/>
        <v>425.16</v>
      </c>
      <c r="AC36">
        <f t="shared" si="27"/>
        <v>425.16</v>
      </c>
      <c r="AD36">
        <f t="shared" si="28"/>
        <v>0</v>
      </c>
      <c r="AE36">
        <f t="shared" si="29"/>
        <v>0</v>
      </c>
      <c r="AF36">
        <f t="shared" si="30"/>
        <v>0</v>
      </c>
      <c r="AG36">
        <f t="shared" si="31"/>
        <v>0</v>
      </c>
      <c r="AH36">
        <f t="shared" si="32"/>
        <v>0</v>
      </c>
      <c r="AI36">
        <f t="shared" si="33"/>
        <v>0</v>
      </c>
      <c r="AJ36">
        <f t="shared" si="34"/>
        <v>0</v>
      </c>
      <c r="AK36">
        <v>425.16</v>
      </c>
      <c r="AL36">
        <v>425.16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70</v>
      </c>
      <c r="AU36">
        <v>10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H36">
        <v>3</v>
      </c>
      <c r="BI36">
        <v>4</v>
      </c>
      <c r="BJ36" t="s">
        <v>54</v>
      </c>
      <c r="BM36">
        <v>0</v>
      </c>
      <c r="BN36">
        <v>0</v>
      </c>
      <c r="BP36">
        <v>0</v>
      </c>
      <c r="BQ36">
        <v>1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70</v>
      </c>
      <c r="CA36">
        <v>10</v>
      </c>
      <c r="CF36">
        <v>0</v>
      </c>
      <c r="CG36">
        <v>0</v>
      </c>
      <c r="CM36">
        <v>0</v>
      </c>
      <c r="CO36">
        <v>0</v>
      </c>
      <c r="CP36">
        <f t="shared" si="35"/>
        <v>425.16</v>
      </c>
      <c r="CQ36">
        <f t="shared" si="36"/>
        <v>425.16</v>
      </c>
      <c r="CR36">
        <f t="shared" si="37"/>
        <v>0</v>
      </c>
      <c r="CS36">
        <f t="shared" si="38"/>
        <v>0</v>
      </c>
      <c r="CT36">
        <f t="shared" si="39"/>
        <v>0</v>
      </c>
      <c r="CU36">
        <f t="shared" si="40"/>
        <v>0</v>
      </c>
      <c r="CV36">
        <f t="shared" si="41"/>
        <v>0</v>
      </c>
      <c r="CW36">
        <f t="shared" si="42"/>
        <v>0</v>
      </c>
      <c r="CX36">
        <f t="shared" si="43"/>
        <v>0</v>
      </c>
      <c r="CY36">
        <f t="shared" si="44"/>
        <v>0</v>
      </c>
      <c r="CZ36">
        <f t="shared" si="45"/>
        <v>0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17</v>
      </c>
      <c r="DW36" t="s">
        <v>17</v>
      </c>
      <c r="DX36">
        <v>1</v>
      </c>
      <c r="EE36">
        <v>25674155</v>
      </c>
      <c r="EF36">
        <v>1</v>
      </c>
      <c r="EG36" t="s">
        <v>19</v>
      </c>
      <c r="EH36">
        <v>0</v>
      </c>
      <c r="EJ36">
        <v>4</v>
      </c>
      <c r="EK36">
        <v>0</v>
      </c>
      <c r="EL36" t="s">
        <v>20</v>
      </c>
      <c r="EM36" t="s">
        <v>21</v>
      </c>
      <c r="EQ36">
        <v>0</v>
      </c>
      <c r="ER36">
        <v>425.16</v>
      </c>
      <c r="ES36">
        <v>425.16</v>
      </c>
      <c r="ET36">
        <v>0</v>
      </c>
      <c r="EU36">
        <v>0</v>
      </c>
      <c r="EV36">
        <v>0</v>
      </c>
      <c r="EW36">
        <v>0</v>
      </c>
      <c r="EX36">
        <v>0</v>
      </c>
      <c r="FQ36">
        <v>0</v>
      </c>
      <c r="FR36">
        <f t="shared" si="46"/>
        <v>0</v>
      </c>
      <c r="FS36">
        <v>0</v>
      </c>
      <c r="FX36">
        <v>70</v>
      </c>
      <c r="FY36">
        <v>10</v>
      </c>
      <c r="GD36">
        <v>0</v>
      </c>
      <c r="GF36">
        <v>1261032845</v>
      </c>
      <c r="GG36">
        <v>2</v>
      </c>
      <c r="GH36">
        <v>1</v>
      </c>
      <c r="GI36">
        <v>-2</v>
      </c>
      <c r="GJ36">
        <v>0</v>
      </c>
      <c r="GK36">
        <f>ROUND(R36*(R12)/100,2)</f>
        <v>0</v>
      </c>
      <c r="GL36">
        <f t="shared" si="47"/>
        <v>0</v>
      </c>
      <c r="GM36">
        <f t="shared" si="48"/>
        <v>425.16</v>
      </c>
      <c r="GN36">
        <f t="shared" si="49"/>
        <v>0</v>
      </c>
      <c r="GO36">
        <f t="shared" si="50"/>
        <v>0</v>
      </c>
      <c r="GP36">
        <f t="shared" si="51"/>
        <v>425.16</v>
      </c>
      <c r="GR36">
        <v>0</v>
      </c>
    </row>
    <row r="37" spans="1:200" ht="12.75">
      <c r="A37">
        <v>17</v>
      </c>
      <c r="B37">
        <v>1</v>
      </c>
      <c r="C37">
        <f>ROW(SmtRes!A25)</f>
        <v>25</v>
      </c>
      <c r="D37">
        <f>ROW(EtalonRes!A20)</f>
        <v>20</v>
      </c>
      <c r="E37" t="s">
        <v>55</v>
      </c>
      <c r="F37" t="s">
        <v>56</v>
      </c>
      <c r="G37" t="s">
        <v>57</v>
      </c>
      <c r="H37" t="s">
        <v>58</v>
      </c>
      <c r="I37">
        <v>1</v>
      </c>
      <c r="J37">
        <v>0</v>
      </c>
      <c r="O37">
        <f t="shared" si="15"/>
        <v>3484.24</v>
      </c>
      <c r="P37">
        <f t="shared" si="16"/>
        <v>564.96</v>
      </c>
      <c r="Q37">
        <f t="shared" si="17"/>
        <v>18.38</v>
      </c>
      <c r="R37">
        <f t="shared" si="18"/>
        <v>3.84</v>
      </c>
      <c r="S37">
        <f t="shared" si="19"/>
        <v>2900.9</v>
      </c>
      <c r="T37">
        <f t="shared" si="20"/>
        <v>0</v>
      </c>
      <c r="U37">
        <f t="shared" si="21"/>
        <v>14.95</v>
      </c>
      <c r="V37">
        <f t="shared" si="22"/>
        <v>0</v>
      </c>
      <c r="W37">
        <f t="shared" si="23"/>
        <v>0</v>
      </c>
      <c r="X37">
        <f t="shared" si="24"/>
        <v>2030.63</v>
      </c>
      <c r="Y37">
        <f t="shared" si="25"/>
        <v>290.09</v>
      </c>
      <c r="AA37">
        <v>26615678</v>
      </c>
      <c r="AB37">
        <f t="shared" si="26"/>
        <v>3484.24</v>
      </c>
      <c r="AC37">
        <f t="shared" si="27"/>
        <v>564.96</v>
      </c>
      <c r="AD37">
        <f t="shared" si="28"/>
        <v>18.38</v>
      </c>
      <c r="AE37">
        <f t="shared" si="29"/>
        <v>3.84</v>
      </c>
      <c r="AF37">
        <f t="shared" si="30"/>
        <v>2900.9</v>
      </c>
      <c r="AG37">
        <f t="shared" si="31"/>
        <v>0</v>
      </c>
      <c r="AH37">
        <f t="shared" si="32"/>
        <v>14.95</v>
      </c>
      <c r="AI37">
        <f t="shared" si="33"/>
        <v>0</v>
      </c>
      <c r="AJ37">
        <f t="shared" si="34"/>
        <v>0</v>
      </c>
      <c r="AK37">
        <v>3484.24</v>
      </c>
      <c r="AL37">
        <v>564.96</v>
      </c>
      <c r="AM37">
        <v>18.38</v>
      </c>
      <c r="AN37">
        <v>3.84</v>
      </c>
      <c r="AO37">
        <v>2900.9</v>
      </c>
      <c r="AP37">
        <v>0</v>
      </c>
      <c r="AQ37">
        <v>14.95</v>
      </c>
      <c r="AR37">
        <v>0</v>
      </c>
      <c r="AS37">
        <v>0</v>
      </c>
      <c r="AT37">
        <v>70</v>
      </c>
      <c r="AU37">
        <v>10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4</v>
      </c>
      <c r="BJ37" t="s">
        <v>59</v>
      </c>
      <c r="BM37">
        <v>0</v>
      </c>
      <c r="BN37">
        <v>0</v>
      </c>
      <c r="BP37">
        <v>0</v>
      </c>
      <c r="BQ37">
        <v>1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70</v>
      </c>
      <c r="CA37">
        <v>10</v>
      </c>
      <c r="CF37">
        <v>0</v>
      </c>
      <c r="CG37">
        <v>0</v>
      </c>
      <c r="CM37">
        <v>0</v>
      </c>
      <c r="CO37">
        <v>0</v>
      </c>
      <c r="CP37">
        <f t="shared" si="35"/>
        <v>3484.2400000000002</v>
      </c>
      <c r="CQ37">
        <f t="shared" si="36"/>
        <v>564.96</v>
      </c>
      <c r="CR37">
        <f t="shared" si="37"/>
        <v>18.38</v>
      </c>
      <c r="CS37">
        <f t="shared" si="38"/>
        <v>3.84</v>
      </c>
      <c r="CT37">
        <f t="shared" si="39"/>
        <v>2900.9</v>
      </c>
      <c r="CU37">
        <f t="shared" si="40"/>
        <v>0</v>
      </c>
      <c r="CV37">
        <f t="shared" si="41"/>
        <v>14.95</v>
      </c>
      <c r="CW37">
        <f t="shared" si="42"/>
        <v>0</v>
      </c>
      <c r="CX37">
        <f t="shared" si="43"/>
        <v>0</v>
      </c>
      <c r="CY37">
        <f t="shared" si="44"/>
        <v>2030.63</v>
      </c>
      <c r="CZ37">
        <f t="shared" si="45"/>
        <v>290.09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58</v>
      </c>
      <c r="DW37" t="s">
        <v>58</v>
      </c>
      <c r="DX37">
        <v>1</v>
      </c>
      <c r="EE37">
        <v>25674155</v>
      </c>
      <c r="EF37">
        <v>1</v>
      </c>
      <c r="EG37" t="s">
        <v>19</v>
      </c>
      <c r="EH37">
        <v>0</v>
      </c>
      <c r="EJ37">
        <v>4</v>
      </c>
      <c r="EK37">
        <v>0</v>
      </c>
      <c r="EL37" t="s">
        <v>20</v>
      </c>
      <c r="EM37" t="s">
        <v>21</v>
      </c>
      <c r="EQ37">
        <v>0</v>
      </c>
      <c r="ER37">
        <v>3484.24</v>
      </c>
      <c r="ES37">
        <v>564.96</v>
      </c>
      <c r="ET37">
        <v>18.38</v>
      </c>
      <c r="EU37">
        <v>3.84</v>
      </c>
      <c r="EV37">
        <v>2900.9</v>
      </c>
      <c r="EW37">
        <v>14.95</v>
      </c>
      <c r="EX37">
        <v>0</v>
      </c>
      <c r="EY37">
        <v>0</v>
      </c>
      <c r="FQ37">
        <v>0</v>
      </c>
      <c r="FR37">
        <f t="shared" si="46"/>
        <v>0</v>
      </c>
      <c r="FS37">
        <v>0</v>
      </c>
      <c r="FX37">
        <v>70</v>
      </c>
      <c r="FY37">
        <v>10</v>
      </c>
      <c r="GD37">
        <v>0</v>
      </c>
      <c r="GF37">
        <v>-1884846978</v>
      </c>
      <c r="GG37">
        <v>2</v>
      </c>
      <c r="GH37">
        <v>1</v>
      </c>
      <c r="GI37">
        <v>-2</v>
      </c>
      <c r="GJ37">
        <v>0</v>
      </c>
      <c r="GK37">
        <f>ROUND(R37*(R12)/100,2)</f>
        <v>4.15</v>
      </c>
      <c r="GL37">
        <f t="shared" si="47"/>
        <v>0</v>
      </c>
      <c r="GM37">
        <f t="shared" si="48"/>
        <v>5809.11</v>
      </c>
      <c r="GN37">
        <f t="shared" si="49"/>
        <v>0</v>
      </c>
      <c r="GO37">
        <f t="shared" si="50"/>
        <v>0</v>
      </c>
      <c r="GP37">
        <f t="shared" si="51"/>
        <v>5809.11</v>
      </c>
      <c r="GR37">
        <v>0</v>
      </c>
    </row>
    <row r="38" spans="1:200" ht="12.75">
      <c r="A38">
        <v>18</v>
      </c>
      <c r="B38">
        <v>1</v>
      </c>
      <c r="C38">
        <v>25</v>
      </c>
      <c r="E38" t="s">
        <v>60</v>
      </c>
      <c r="F38" t="s">
        <v>61</v>
      </c>
      <c r="G38" t="s">
        <v>62</v>
      </c>
      <c r="H38" t="s">
        <v>25</v>
      </c>
      <c r="I38">
        <f>I37*J38</f>
        <v>1</v>
      </c>
      <c r="J38">
        <v>1</v>
      </c>
      <c r="O38">
        <f t="shared" si="15"/>
        <v>7584.75</v>
      </c>
      <c r="P38">
        <f t="shared" si="16"/>
        <v>7584.75</v>
      </c>
      <c r="Q38">
        <f t="shared" si="17"/>
        <v>0</v>
      </c>
      <c r="R38">
        <f t="shared" si="18"/>
        <v>0</v>
      </c>
      <c r="S38">
        <f t="shared" si="19"/>
        <v>0</v>
      </c>
      <c r="T38">
        <f t="shared" si="20"/>
        <v>0</v>
      </c>
      <c r="U38">
        <f t="shared" si="21"/>
        <v>0</v>
      </c>
      <c r="V38">
        <f t="shared" si="22"/>
        <v>0</v>
      </c>
      <c r="W38">
        <f t="shared" si="23"/>
        <v>0</v>
      </c>
      <c r="X38">
        <f t="shared" si="24"/>
        <v>0</v>
      </c>
      <c r="Y38">
        <f t="shared" si="25"/>
        <v>0</v>
      </c>
      <c r="AA38">
        <v>26615678</v>
      </c>
      <c r="AB38">
        <f t="shared" si="26"/>
        <v>7584.75</v>
      </c>
      <c r="AC38">
        <f t="shared" si="27"/>
        <v>7584.75</v>
      </c>
      <c r="AD38">
        <f t="shared" si="28"/>
        <v>0</v>
      </c>
      <c r="AE38">
        <f t="shared" si="29"/>
        <v>0</v>
      </c>
      <c r="AF38">
        <f t="shared" si="30"/>
        <v>0</v>
      </c>
      <c r="AG38">
        <f t="shared" si="31"/>
        <v>0</v>
      </c>
      <c r="AH38">
        <f t="shared" si="32"/>
        <v>0</v>
      </c>
      <c r="AI38">
        <f t="shared" si="33"/>
        <v>0</v>
      </c>
      <c r="AJ38">
        <f t="shared" si="34"/>
        <v>0</v>
      </c>
      <c r="AK38">
        <v>7584.75</v>
      </c>
      <c r="AL38">
        <v>7584.75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70</v>
      </c>
      <c r="AU38">
        <v>10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4</v>
      </c>
      <c r="BM38">
        <v>0</v>
      </c>
      <c r="BN38">
        <v>0</v>
      </c>
      <c r="BP38">
        <v>0</v>
      </c>
      <c r="BQ38">
        <v>1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70</v>
      </c>
      <c r="CA38">
        <v>10</v>
      </c>
      <c r="CF38">
        <v>0</v>
      </c>
      <c r="CG38">
        <v>0</v>
      </c>
      <c r="CM38">
        <v>0</v>
      </c>
      <c r="CO38">
        <v>0</v>
      </c>
      <c r="CP38">
        <f t="shared" si="35"/>
        <v>7584.75</v>
      </c>
      <c r="CQ38">
        <f t="shared" si="36"/>
        <v>7584.75</v>
      </c>
      <c r="CR38">
        <f t="shared" si="37"/>
        <v>0</v>
      </c>
      <c r="CS38">
        <f t="shared" si="38"/>
        <v>0</v>
      </c>
      <c r="CT38">
        <f t="shared" si="39"/>
        <v>0</v>
      </c>
      <c r="CU38">
        <f t="shared" si="40"/>
        <v>0</v>
      </c>
      <c r="CV38">
        <f t="shared" si="41"/>
        <v>0</v>
      </c>
      <c r="CW38">
        <f t="shared" si="42"/>
        <v>0</v>
      </c>
      <c r="CX38">
        <f t="shared" si="43"/>
        <v>0</v>
      </c>
      <c r="CY38">
        <f t="shared" si="44"/>
        <v>0</v>
      </c>
      <c r="CZ38">
        <f t="shared" si="45"/>
        <v>0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25</v>
      </c>
      <c r="DW38" t="s">
        <v>25</v>
      </c>
      <c r="DX38">
        <v>1</v>
      </c>
      <c r="EE38">
        <v>25674155</v>
      </c>
      <c r="EF38">
        <v>1</v>
      </c>
      <c r="EG38" t="s">
        <v>19</v>
      </c>
      <c r="EH38">
        <v>0</v>
      </c>
      <c r="EJ38">
        <v>4</v>
      </c>
      <c r="EK38">
        <v>0</v>
      </c>
      <c r="EL38" t="s">
        <v>20</v>
      </c>
      <c r="EM38" t="s">
        <v>21</v>
      </c>
      <c r="EQ38">
        <v>0</v>
      </c>
      <c r="ER38">
        <v>0</v>
      </c>
      <c r="ES38">
        <v>7584.75</v>
      </c>
      <c r="ET38">
        <v>0</v>
      </c>
      <c r="EU38">
        <v>0</v>
      </c>
      <c r="EV38">
        <v>0</v>
      </c>
      <c r="EW38">
        <v>0</v>
      </c>
      <c r="EX38">
        <v>0</v>
      </c>
      <c r="EZ38">
        <v>5</v>
      </c>
      <c r="FC38">
        <v>1</v>
      </c>
      <c r="FD38">
        <v>18</v>
      </c>
      <c r="FF38">
        <v>8950</v>
      </c>
      <c r="FQ38">
        <v>0</v>
      </c>
      <c r="FR38">
        <f t="shared" si="46"/>
        <v>0</v>
      </c>
      <c r="FS38">
        <v>0</v>
      </c>
      <c r="FX38">
        <v>70</v>
      </c>
      <c r="FY38">
        <v>10</v>
      </c>
      <c r="GA38" t="s">
        <v>63</v>
      </c>
      <c r="GD38">
        <v>0</v>
      </c>
      <c r="GF38">
        <v>746369195</v>
      </c>
      <c r="GG38">
        <v>2</v>
      </c>
      <c r="GH38">
        <v>3</v>
      </c>
      <c r="GI38">
        <v>-2</v>
      </c>
      <c r="GJ38">
        <v>0</v>
      </c>
      <c r="GK38">
        <f>ROUND(R38*(R12)/100,2)</f>
        <v>0</v>
      </c>
      <c r="GL38">
        <f t="shared" si="47"/>
        <v>0</v>
      </c>
      <c r="GM38">
        <f t="shared" si="48"/>
        <v>7584.75</v>
      </c>
      <c r="GN38">
        <f t="shared" si="49"/>
        <v>0</v>
      </c>
      <c r="GO38">
        <f t="shared" si="50"/>
        <v>0</v>
      </c>
      <c r="GP38">
        <f t="shared" si="51"/>
        <v>7584.75</v>
      </c>
      <c r="GR38">
        <v>0</v>
      </c>
    </row>
    <row r="39" spans="1:200" ht="12.75">
      <c r="A39">
        <v>17</v>
      </c>
      <c r="B39">
        <v>1</v>
      </c>
      <c r="C39">
        <f>ROW(SmtRes!A30)</f>
        <v>30</v>
      </c>
      <c r="D39">
        <f>ROW(EtalonRes!A25)</f>
        <v>25</v>
      </c>
      <c r="E39" t="s">
        <v>64</v>
      </c>
      <c r="F39" t="s">
        <v>65</v>
      </c>
      <c r="G39" t="s">
        <v>66</v>
      </c>
      <c r="H39" t="s">
        <v>67</v>
      </c>
      <c r="I39">
        <v>0.0303</v>
      </c>
      <c r="J39">
        <v>0</v>
      </c>
      <c r="O39">
        <f t="shared" si="15"/>
        <v>618.12</v>
      </c>
      <c r="P39">
        <f t="shared" si="16"/>
        <v>2.5</v>
      </c>
      <c r="Q39">
        <f t="shared" si="17"/>
        <v>0.78</v>
      </c>
      <c r="R39">
        <f t="shared" si="18"/>
        <v>0.04</v>
      </c>
      <c r="S39">
        <f t="shared" si="19"/>
        <v>614.84</v>
      </c>
      <c r="T39">
        <f t="shared" si="20"/>
        <v>0</v>
      </c>
      <c r="U39">
        <f t="shared" si="21"/>
        <v>2.860926</v>
      </c>
      <c r="V39">
        <f t="shared" si="22"/>
        <v>0</v>
      </c>
      <c r="W39">
        <f t="shared" si="23"/>
        <v>0</v>
      </c>
      <c r="X39">
        <f t="shared" si="24"/>
        <v>430.39</v>
      </c>
      <c r="Y39">
        <f t="shared" si="25"/>
        <v>61.48</v>
      </c>
      <c r="AA39">
        <v>26615678</v>
      </c>
      <c r="AB39">
        <f t="shared" si="26"/>
        <v>20400.05</v>
      </c>
      <c r="AC39">
        <f t="shared" si="27"/>
        <v>82.57</v>
      </c>
      <c r="AD39">
        <f t="shared" si="28"/>
        <v>25.68</v>
      </c>
      <c r="AE39">
        <f t="shared" si="29"/>
        <v>1.39</v>
      </c>
      <c r="AF39">
        <f t="shared" si="30"/>
        <v>20291.8</v>
      </c>
      <c r="AG39">
        <f t="shared" si="31"/>
        <v>0</v>
      </c>
      <c r="AH39">
        <f t="shared" si="32"/>
        <v>94.42</v>
      </c>
      <c r="AI39">
        <f t="shared" si="33"/>
        <v>0</v>
      </c>
      <c r="AJ39">
        <f t="shared" si="34"/>
        <v>0</v>
      </c>
      <c r="AK39">
        <v>20400.05</v>
      </c>
      <c r="AL39">
        <v>82.57</v>
      </c>
      <c r="AM39">
        <v>25.68</v>
      </c>
      <c r="AN39">
        <v>1.39</v>
      </c>
      <c r="AO39">
        <v>20291.8</v>
      </c>
      <c r="AP39">
        <v>0</v>
      </c>
      <c r="AQ39">
        <v>94.42</v>
      </c>
      <c r="AR39">
        <v>0</v>
      </c>
      <c r="AS39">
        <v>0</v>
      </c>
      <c r="AT39">
        <v>70</v>
      </c>
      <c r="AU39">
        <v>10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H39">
        <v>0</v>
      </c>
      <c r="BI39">
        <v>4</v>
      </c>
      <c r="BJ39" t="s">
        <v>68</v>
      </c>
      <c r="BM39">
        <v>0</v>
      </c>
      <c r="BN39">
        <v>0</v>
      </c>
      <c r="BP39">
        <v>0</v>
      </c>
      <c r="BQ39">
        <v>1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70</v>
      </c>
      <c r="CA39">
        <v>10</v>
      </c>
      <c r="CF39">
        <v>0</v>
      </c>
      <c r="CG39">
        <v>0</v>
      </c>
      <c r="CM39">
        <v>0</v>
      </c>
      <c r="CO39">
        <v>0</v>
      </c>
      <c r="CP39">
        <f t="shared" si="35"/>
        <v>618.12</v>
      </c>
      <c r="CQ39">
        <f t="shared" si="36"/>
        <v>82.57</v>
      </c>
      <c r="CR39">
        <f t="shared" si="37"/>
        <v>25.68</v>
      </c>
      <c r="CS39">
        <f t="shared" si="38"/>
        <v>1.39</v>
      </c>
      <c r="CT39">
        <f t="shared" si="39"/>
        <v>20291.8</v>
      </c>
      <c r="CU39">
        <f t="shared" si="40"/>
        <v>0</v>
      </c>
      <c r="CV39">
        <f t="shared" si="41"/>
        <v>94.42</v>
      </c>
      <c r="CW39">
        <f t="shared" si="42"/>
        <v>0</v>
      </c>
      <c r="CX39">
        <f t="shared" si="43"/>
        <v>0</v>
      </c>
      <c r="CY39">
        <f t="shared" si="44"/>
        <v>430.38800000000003</v>
      </c>
      <c r="CZ39">
        <f t="shared" si="45"/>
        <v>61.48400000000001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67</v>
      </c>
      <c r="DW39" t="s">
        <v>67</v>
      </c>
      <c r="DX39">
        <v>1</v>
      </c>
      <c r="EE39">
        <v>25674155</v>
      </c>
      <c r="EF39">
        <v>1</v>
      </c>
      <c r="EG39" t="s">
        <v>19</v>
      </c>
      <c r="EH39">
        <v>0</v>
      </c>
      <c r="EJ39">
        <v>4</v>
      </c>
      <c r="EK39">
        <v>0</v>
      </c>
      <c r="EL39" t="s">
        <v>20</v>
      </c>
      <c r="EM39" t="s">
        <v>21</v>
      </c>
      <c r="EQ39">
        <v>0</v>
      </c>
      <c r="ER39">
        <v>20400.05</v>
      </c>
      <c r="ES39">
        <v>82.57</v>
      </c>
      <c r="ET39">
        <v>25.68</v>
      </c>
      <c r="EU39">
        <v>1.39</v>
      </c>
      <c r="EV39">
        <v>20291.8</v>
      </c>
      <c r="EW39">
        <v>94.42</v>
      </c>
      <c r="EX39">
        <v>0</v>
      </c>
      <c r="EY39">
        <v>0</v>
      </c>
      <c r="FQ39">
        <v>0</v>
      </c>
      <c r="FR39">
        <f t="shared" si="46"/>
        <v>0</v>
      </c>
      <c r="FS39">
        <v>0</v>
      </c>
      <c r="FX39">
        <v>70</v>
      </c>
      <c r="FY39">
        <v>10</v>
      </c>
      <c r="GD39">
        <v>0</v>
      </c>
      <c r="GF39">
        <v>-1380454079</v>
      </c>
      <c r="GG39">
        <v>2</v>
      </c>
      <c r="GH39">
        <v>1</v>
      </c>
      <c r="GI39">
        <v>-2</v>
      </c>
      <c r="GJ39">
        <v>0</v>
      </c>
      <c r="GK39">
        <f>ROUND(R39*(R12)/100,2)</f>
        <v>0.04</v>
      </c>
      <c r="GL39">
        <f t="shared" si="47"/>
        <v>0</v>
      </c>
      <c r="GM39">
        <f t="shared" si="48"/>
        <v>1110.03</v>
      </c>
      <c r="GN39">
        <f t="shared" si="49"/>
        <v>0</v>
      </c>
      <c r="GO39">
        <f t="shared" si="50"/>
        <v>0</v>
      </c>
      <c r="GP39">
        <f t="shared" si="51"/>
        <v>1110.03</v>
      </c>
      <c r="GR39">
        <v>0</v>
      </c>
    </row>
    <row r="40" spans="1:200" ht="12.75">
      <c r="A40">
        <v>18</v>
      </c>
      <c r="B40">
        <v>1</v>
      </c>
      <c r="C40">
        <v>30</v>
      </c>
      <c r="E40" t="s">
        <v>69</v>
      </c>
      <c r="F40" t="s">
        <v>70</v>
      </c>
      <c r="G40" t="s">
        <v>71</v>
      </c>
      <c r="H40" t="s">
        <v>25</v>
      </c>
      <c r="I40">
        <f>I39*J40</f>
        <v>0.9999999999999999</v>
      </c>
      <c r="J40">
        <v>33.003300330033</v>
      </c>
      <c r="O40">
        <f t="shared" si="15"/>
        <v>3889.83</v>
      </c>
      <c r="P40">
        <f t="shared" si="16"/>
        <v>3889.83</v>
      </c>
      <c r="Q40">
        <f t="shared" si="17"/>
        <v>0</v>
      </c>
      <c r="R40">
        <f t="shared" si="18"/>
        <v>0</v>
      </c>
      <c r="S40">
        <f t="shared" si="19"/>
        <v>0</v>
      </c>
      <c r="T40">
        <f t="shared" si="20"/>
        <v>0</v>
      </c>
      <c r="U40">
        <f t="shared" si="21"/>
        <v>0</v>
      </c>
      <c r="V40">
        <f t="shared" si="22"/>
        <v>0</v>
      </c>
      <c r="W40">
        <f t="shared" si="23"/>
        <v>0</v>
      </c>
      <c r="X40">
        <f t="shared" si="24"/>
        <v>0</v>
      </c>
      <c r="Y40">
        <f t="shared" si="25"/>
        <v>0</v>
      </c>
      <c r="AA40">
        <v>26615678</v>
      </c>
      <c r="AB40">
        <f t="shared" si="26"/>
        <v>3889.83</v>
      </c>
      <c r="AC40">
        <f t="shared" si="27"/>
        <v>3889.83</v>
      </c>
      <c r="AD40">
        <f t="shared" si="28"/>
        <v>0</v>
      </c>
      <c r="AE40">
        <f t="shared" si="29"/>
        <v>0</v>
      </c>
      <c r="AF40">
        <f t="shared" si="30"/>
        <v>0</v>
      </c>
      <c r="AG40">
        <f t="shared" si="31"/>
        <v>0</v>
      </c>
      <c r="AH40">
        <f t="shared" si="32"/>
        <v>0</v>
      </c>
      <c r="AI40">
        <f t="shared" si="33"/>
        <v>0</v>
      </c>
      <c r="AJ40">
        <f t="shared" si="34"/>
        <v>0</v>
      </c>
      <c r="AK40">
        <v>3889.83</v>
      </c>
      <c r="AL40">
        <v>3889.83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70</v>
      </c>
      <c r="AU40">
        <v>10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H40">
        <v>3</v>
      </c>
      <c r="BI40">
        <v>4</v>
      </c>
      <c r="BM40">
        <v>0</v>
      </c>
      <c r="BN40">
        <v>0</v>
      </c>
      <c r="BP40">
        <v>0</v>
      </c>
      <c r="BQ40">
        <v>1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70</v>
      </c>
      <c r="CA40">
        <v>10</v>
      </c>
      <c r="CF40">
        <v>0</v>
      </c>
      <c r="CG40">
        <v>0</v>
      </c>
      <c r="CM40">
        <v>0</v>
      </c>
      <c r="CO40">
        <v>0</v>
      </c>
      <c r="CP40">
        <f t="shared" si="35"/>
        <v>3889.83</v>
      </c>
      <c r="CQ40">
        <f t="shared" si="36"/>
        <v>3889.83</v>
      </c>
      <c r="CR40">
        <f t="shared" si="37"/>
        <v>0</v>
      </c>
      <c r="CS40">
        <f t="shared" si="38"/>
        <v>0</v>
      </c>
      <c r="CT40">
        <f t="shared" si="39"/>
        <v>0</v>
      </c>
      <c r="CU40">
        <f t="shared" si="40"/>
        <v>0</v>
      </c>
      <c r="CV40">
        <f t="shared" si="41"/>
        <v>0</v>
      </c>
      <c r="CW40">
        <f t="shared" si="42"/>
        <v>0</v>
      </c>
      <c r="CX40">
        <f t="shared" si="43"/>
        <v>0</v>
      </c>
      <c r="CY40">
        <f t="shared" si="44"/>
        <v>0</v>
      </c>
      <c r="CZ40">
        <f t="shared" si="45"/>
        <v>0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25</v>
      </c>
      <c r="DW40" t="s">
        <v>25</v>
      </c>
      <c r="DX40">
        <v>1</v>
      </c>
      <c r="EE40">
        <v>25674155</v>
      </c>
      <c r="EF40">
        <v>1</v>
      </c>
      <c r="EG40" t="s">
        <v>19</v>
      </c>
      <c r="EH40">
        <v>0</v>
      </c>
      <c r="EJ40">
        <v>4</v>
      </c>
      <c r="EK40">
        <v>0</v>
      </c>
      <c r="EL40" t="s">
        <v>20</v>
      </c>
      <c r="EM40" t="s">
        <v>21</v>
      </c>
      <c r="EQ40">
        <v>0</v>
      </c>
      <c r="ER40">
        <v>0</v>
      </c>
      <c r="ES40">
        <v>3889.83</v>
      </c>
      <c r="ET40">
        <v>0</v>
      </c>
      <c r="EU40">
        <v>0</v>
      </c>
      <c r="EV40">
        <v>0</v>
      </c>
      <c r="EW40">
        <v>0</v>
      </c>
      <c r="EX40">
        <v>0</v>
      </c>
      <c r="EZ40">
        <v>5</v>
      </c>
      <c r="FC40">
        <v>1</v>
      </c>
      <c r="FD40">
        <v>18</v>
      </c>
      <c r="FF40">
        <v>4590</v>
      </c>
      <c r="FQ40">
        <v>0</v>
      </c>
      <c r="FR40">
        <f t="shared" si="46"/>
        <v>0</v>
      </c>
      <c r="FS40">
        <v>0</v>
      </c>
      <c r="FX40">
        <v>70</v>
      </c>
      <c r="FY40">
        <v>10</v>
      </c>
      <c r="GA40" t="s">
        <v>72</v>
      </c>
      <c r="GD40">
        <v>0</v>
      </c>
      <c r="GF40">
        <v>-239010240</v>
      </c>
      <c r="GG40">
        <v>2</v>
      </c>
      <c r="GH40">
        <v>3</v>
      </c>
      <c r="GI40">
        <v>-2</v>
      </c>
      <c r="GJ40">
        <v>0</v>
      </c>
      <c r="GK40">
        <f>ROUND(R40*(R12)/100,2)</f>
        <v>0</v>
      </c>
      <c r="GL40">
        <f t="shared" si="47"/>
        <v>0</v>
      </c>
      <c r="GM40">
        <f t="shared" si="48"/>
        <v>3889.83</v>
      </c>
      <c r="GN40">
        <f t="shared" si="49"/>
        <v>0</v>
      </c>
      <c r="GO40">
        <f t="shared" si="50"/>
        <v>0</v>
      </c>
      <c r="GP40">
        <f t="shared" si="51"/>
        <v>3889.83</v>
      </c>
      <c r="GR40">
        <v>0</v>
      </c>
    </row>
    <row r="41" spans="1:200" ht="12.75">
      <c r="A41">
        <v>17</v>
      </c>
      <c r="B41">
        <v>1</v>
      </c>
      <c r="C41">
        <f>ROW(SmtRes!A43)</f>
        <v>43</v>
      </c>
      <c r="D41">
        <f>ROW(EtalonRes!A39)</f>
        <v>39</v>
      </c>
      <c r="E41" t="s">
        <v>73</v>
      </c>
      <c r="F41" t="s">
        <v>74</v>
      </c>
      <c r="G41" t="s">
        <v>75</v>
      </c>
      <c r="H41" t="s">
        <v>76</v>
      </c>
      <c r="I41">
        <v>0.209</v>
      </c>
      <c r="J41">
        <v>0</v>
      </c>
      <c r="O41">
        <f t="shared" si="15"/>
        <v>6900.62</v>
      </c>
      <c r="P41">
        <f t="shared" si="16"/>
        <v>566.32</v>
      </c>
      <c r="Q41">
        <f t="shared" si="17"/>
        <v>15.66</v>
      </c>
      <c r="R41">
        <f t="shared" si="18"/>
        <v>3.58</v>
      </c>
      <c r="S41">
        <f t="shared" si="19"/>
        <v>6318.64</v>
      </c>
      <c r="T41">
        <f t="shared" si="20"/>
        <v>0</v>
      </c>
      <c r="U41">
        <f t="shared" si="21"/>
        <v>37.0139</v>
      </c>
      <c r="V41">
        <f t="shared" si="22"/>
        <v>0</v>
      </c>
      <c r="W41">
        <f t="shared" si="23"/>
        <v>0</v>
      </c>
      <c r="X41">
        <f t="shared" si="24"/>
        <v>4423.05</v>
      </c>
      <c r="Y41">
        <f t="shared" si="25"/>
        <v>631.86</v>
      </c>
      <c r="AA41">
        <v>26615678</v>
      </c>
      <c r="AB41">
        <f t="shared" si="26"/>
        <v>33017.34</v>
      </c>
      <c r="AC41">
        <f t="shared" si="27"/>
        <v>2709.67</v>
      </c>
      <c r="AD41">
        <f t="shared" si="28"/>
        <v>74.93</v>
      </c>
      <c r="AE41">
        <f t="shared" si="29"/>
        <v>17.14</v>
      </c>
      <c r="AF41">
        <f t="shared" si="30"/>
        <v>30232.74</v>
      </c>
      <c r="AG41">
        <f t="shared" si="31"/>
        <v>0</v>
      </c>
      <c r="AH41">
        <f t="shared" si="32"/>
        <v>177.1</v>
      </c>
      <c r="AI41">
        <f t="shared" si="33"/>
        <v>0</v>
      </c>
      <c r="AJ41">
        <f t="shared" si="34"/>
        <v>0</v>
      </c>
      <c r="AK41">
        <v>33017.34</v>
      </c>
      <c r="AL41">
        <v>2709.67</v>
      </c>
      <c r="AM41">
        <v>74.93</v>
      </c>
      <c r="AN41">
        <v>17.14</v>
      </c>
      <c r="AO41">
        <v>30232.74</v>
      </c>
      <c r="AP41">
        <v>0</v>
      </c>
      <c r="AQ41">
        <v>177.1</v>
      </c>
      <c r="AR41">
        <v>0</v>
      </c>
      <c r="AS41">
        <v>0</v>
      </c>
      <c r="AT41">
        <v>70</v>
      </c>
      <c r="AU41">
        <v>10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4</v>
      </c>
      <c r="BJ41" t="s">
        <v>77</v>
      </c>
      <c r="BM41">
        <v>0</v>
      </c>
      <c r="BN41">
        <v>0</v>
      </c>
      <c r="BP41">
        <v>0</v>
      </c>
      <c r="BQ41">
        <v>1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70</v>
      </c>
      <c r="CA41">
        <v>10</v>
      </c>
      <c r="CF41">
        <v>0</v>
      </c>
      <c r="CG41">
        <v>0</v>
      </c>
      <c r="CM41">
        <v>0</v>
      </c>
      <c r="CO41">
        <v>0</v>
      </c>
      <c r="CP41">
        <f t="shared" si="35"/>
        <v>6900.620000000001</v>
      </c>
      <c r="CQ41">
        <f t="shared" si="36"/>
        <v>2709.67</v>
      </c>
      <c r="CR41">
        <f t="shared" si="37"/>
        <v>74.93</v>
      </c>
      <c r="CS41">
        <f t="shared" si="38"/>
        <v>17.14</v>
      </c>
      <c r="CT41">
        <f t="shared" si="39"/>
        <v>30232.74</v>
      </c>
      <c r="CU41">
        <f t="shared" si="40"/>
        <v>0</v>
      </c>
      <c r="CV41">
        <f t="shared" si="41"/>
        <v>177.1</v>
      </c>
      <c r="CW41">
        <f t="shared" si="42"/>
        <v>0</v>
      </c>
      <c r="CX41">
        <f t="shared" si="43"/>
        <v>0</v>
      </c>
      <c r="CY41">
        <f t="shared" si="44"/>
        <v>4423.048000000001</v>
      </c>
      <c r="CZ41">
        <f t="shared" si="45"/>
        <v>631.864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76</v>
      </c>
      <c r="DW41" t="s">
        <v>76</v>
      </c>
      <c r="DX41">
        <v>1</v>
      </c>
      <c r="EE41">
        <v>25674155</v>
      </c>
      <c r="EF41">
        <v>1</v>
      </c>
      <c r="EG41" t="s">
        <v>19</v>
      </c>
      <c r="EH41">
        <v>0</v>
      </c>
      <c r="EJ41">
        <v>4</v>
      </c>
      <c r="EK41">
        <v>0</v>
      </c>
      <c r="EL41" t="s">
        <v>20</v>
      </c>
      <c r="EM41" t="s">
        <v>21</v>
      </c>
      <c r="EQ41">
        <v>0</v>
      </c>
      <c r="ER41">
        <v>33017.34</v>
      </c>
      <c r="ES41">
        <v>2709.67</v>
      </c>
      <c r="ET41">
        <v>74.93</v>
      </c>
      <c r="EU41">
        <v>17.14</v>
      </c>
      <c r="EV41">
        <v>30232.74</v>
      </c>
      <c r="EW41">
        <v>177.1</v>
      </c>
      <c r="EX41">
        <v>0</v>
      </c>
      <c r="EY41">
        <v>0</v>
      </c>
      <c r="FQ41">
        <v>0</v>
      </c>
      <c r="FR41">
        <f t="shared" si="46"/>
        <v>0</v>
      </c>
      <c r="FS41">
        <v>0</v>
      </c>
      <c r="FX41">
        <v>70</v>
      </c>
      <c r="FY41">
        <v>10</v>
      </c>
      <c r="GD41">
        <v>0</v>
      </c>
      <c r="GF41">
        <v>-1322738821</v>
      </c>
      <c r="GG41">
        <v>2</v>
      </c>
      <c r="GH41">
        <v>1</v>
      </c>
      <c r="GI41">
        <v>-2</v>
      </c>
      <c r="GJ41">
        <v>0</v>
      </c>
      <c r="GK41">
        <f>ROUND(R41*(R12)/100,2)</f>
        <v>3.87</v>
      </c>
      <c r="GL41">
        <f t="shared" si="47"/>
        <v>0</v>
      </c>
      <c r="GM41">
        <f t="shared" si="48"/>
        <v>11959.400000000001</v>
      </c>
      <c r="GN41">
        <f t="shared" si="49"/>
        <v>0</v>
      </c>
      <c r="GO41">
        <f t="shared" si="50"/>
        <v>0</v>
      </c>
      <c r="GP41">
        <f t="shared" si="51"/>
        <v>11959.4</v>
      </c>
      <c r="GR41">
        <v>0</v>
      </c>
    </row>
    <row r="42" spans="1:200" ht="12.75">
      <c r="A42">
        <v>18</v>
      </c>
      <c r="B42">
        <v>1</v>
      </c>
      <c r="C42">
        <v>39</v>
      </c>
      <c r="E42" t="s">
        <v>78</v>
      </c>
      <c r="F42" t="s">
        <v>79</v>
      </c>
      <c r="G42" t="s">
        <v>80</v>
      </c>
      <c r="H42" t="s">
        <v>17</v>
      </c>
      <c r="I42">
        <f>I41*J42</f>
        <v>12</v>
      </c>
      <c r="J42">
        <v>57.41626794258374</v>
      </c>
      <c r="O42">
        <f t="shared" si="15"/>
        <v>13643.76</v>
      </c>
      <c r="P42">
        <f t="shared" si="16"/>
        <v>13643.76</v>
      </c>
      <c r="Q42">
        <f t="shared" si="17"/>
        <v>0</v>
      </c>
      <c r="R42">
        <f t="shared" si="18"/>
        <v>0</v>
      </c>
      <c r="S42">
        <f t="shared" si="19"/>
        <v>0</v>
      </c>
      <c r="T42">
        <f t="shared" si="20"/>
        <v>0</v>
      </c>
      <c r="U42">
        <f t="shared" si="21"/>
        <v>0</v>
      </c>
      <c r="V42">
        <f t="shared" si="22"/>
        <v>0</v>
      </c>
      <c r="W42">
        <f t="shared" si="23"/>
        <v>0</v>
      </c>
      <c r="X42">
        <f t="shared" si="24"/>
        <v>0</v>
      </c>
      <c r="Y42">
        <f t="shared" si="25"/>
        <v>0</v>
      </c>
      <c r="AA42">
        <v>26615678</v>
      </c>
      <c r="AB42">
        <f t="shared" si="26"/>
        <v>1136.98</v>
      </c>
      <c r="AC42">
        <f t="shared" si="27"/>
        <v>1136.98</v>
      </c>
      <c r="AD42">
        <f t="shared" si="28"/>
        <v>0</v>
      </c>
      <c r="AE42">
        <f t="shared" si="29"/>
        <v>0</v>
      </c>
      <c r="AF42">
        <f t="shared" si="30"/>
        <v>0</v>
      </c>
      <c r="AG42">
        <f t="shared" si="31"/>
        <v>0</v>
      </c>
      <c r="AH42">
        <f t="shared" si="32"/>
        <v>0</v>
      </c>
      <c r="AI42">
        <f t="shared" si="33"/>
        <v>0</v>
      </c>
      <c r="AJ42">
        <f t="shared" si="34"/>
        <v>0</v>
      </c>
      <c r="AK42">
        <v>1136.98</v>
      </c>
      <c r="AL42">
        <v>1136.98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70</v>
      </c>
      <c r="AU42">
        <v>10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H42">
        <v>3</v>
      </c>
      <c r="BI42">
        <v>4</v>
      </c>
      <c r="BJ42" t="s">
        <v>81</v>
      </c>
      <c r="BM42">
        <v>0</v>
      </c>
      <c r="BN42">
        <v>0</v>
      </c>
      <c r="BP42">
        <v>0</v>
      </c>
      <c r="BQ42">
        <v>1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70</v>
      </c>
      <c r="CA42">
        <v>10</v>
      </c>
      <c r="CF42">
        <v>0</v>
      </c>
      <c r="CG42">
        <v>0</v>
      </c>
      <c r="CM42">
        <v>0</v>
      </c>
      <c r="CO42">
        <v>0</v>
      </c>
      <c r="CP42">
        <f t="shared" si="35"/>
        <v>13643.76</v>
      </c>
      <c r="CQ42">
        <f t="shared" si="36"/>
        <v>1136.98</v>
      </c>
      <c r="CR42">
        <f t="shared" si="37"/>
        <v>0</v>
      </c>
      <c r="CS42">
        <f t="shared" si="38"/>
        <v>0</v>
      </c>
      <c r="CT42">
        <f t="shared" si="39"/>
        <v>0</v>
      </c>
      <c r="CU42">
        <f t="shared" si="40"/>
        <v>0</v>
      </c>
      <c r="CV42">
        <f t="shared" si="41"/>
        <v>0</v>
      </c>
      <c r="CW42">
        <f t="shared" si="42"/>
        <v>0</v>
      </c>
      <c r="CX42">
        <f t="shared" si="43"/>
        <v>0</v>
      </c>
      <c r="CY42">
        <f t="shared" si="44"/>
        <v>0</v>
      </c>
      <c r="CZ42">
        <f t="shared" si="45"/>
        <v>0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17</v>
      </c>
      <c r="DW42" t="s">
        <v>17</v>
      </c>
      <c r="DX42">
        <v>1</v>
      </c>
      <c r="EE42">
        <v>25674155</v>
      </c>
      <c r="EF42">
        <v>1</v>
      </c>
      <c r="EG42" t="s">
        <v>19</v>
      </c>
      <c r="EH42">
        <v>0</v>
      </c>
      <c r="EJ42">
        <v>4</v>
      </c>
      <c r="EK42">
        <v>0</v>
      </c>
      <c r="EL42" t="s">
        <v>20</v>
      </c>
      <c r="EM42" t="s">
        <v>21</v>
      </c>
      <c r="EQ42">
        <v>0</v>
      </c>
      <c r="ER42">
        <v>1136.98</v>
      </c>
      <c r="ES42">
        <v>1136.98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46"/>
        <v>0</v>
      </c>
      <c r="FS42">
        <v>0</v>
      </c>
      <c r="FX42">
        <v>70</v>
      </c>
      <c r="FY42">
        <v>10</v>
      </c>
      <c r="GD42">
        <v>0</v>
      </c>
      <c r="GF42">
        <v>547909547</v>
      </c>
      <c r="GG42">
        <v>2</v>
      </c>
      <c r="GH42">
        <v>1</v>
      </c>
      <c r="GI42">
        <v>-2</v>
      </c>
      <c r="GJ42">
        <v>0</v>
      </c>
      <c r="GK42">
        <f>ROUND(R42*(R12)/100,2)</f>
        <v>0</v>
      </c>
      <c r="GL42">
        <f t="shared" si="47"/>
        <v>0</v>
      </c>
      <c r="GM42">
        <f t="shared" si="48"/>
        <v>13643.76</v>
      </c>
      <c r="GN42">
        <f t="shared" si="49"/>
        <v>0</v>
      </c>
      <c r="GO42">
        <f t="shared" si="50"/>
        <v>0</v>
      </c>
      <c r="GP42">
        <f t="shared" si="51"/>
        <v>13643.76</v>
      </c>
      <c r="GR42">
        <v>0</v>
      </c>
    </row>
    <row r="43" spans="1:200" ht="12.75">
      <c r="A43">
        <v>18</v>
      </c>
      <c r="B43">
        <v>1</v>
      </c>
      <c r="C43">
        <v>42</v>
      </c>
      <c r="E43" t="s">
        <v>82</v>
      </c>
      <c r="F43" t="s">
        <v>83</v>
      </c>
      <c r="G43" t="s">
        <v>84</v>
      </c>
      <c r="H43" t="s">
        <v>85</v>
      </c>
      <c r="I43">
        <f>I41*J43</f>
        <v>20.9</v>
      </c>
      <c r="J43">
        <v>100</v>
      </c>
      <c r="O43">
        <f t="shared" si="15"/>
        <v>16943.21</v>
      </c>
      <c r="P43">
        <f t="shared" si="16"/>
        <v>16943.21</v>
      </c>
      <c r="Q43">
        <f t="shared" si="17"/>
        <v>0</v>
      </c>
      <c r="R43">
        <f t="shared" si="18"/>
        <v>0</v>
      </c>
      <c r="S43">
        <f t="shared" si="19"/>
        <v>0</v>
      </c>
      <c r="T43">
        <f t="shared" si="20"/>
        <v>0</v>
      </c>
      <c r="U43">
        <f t="shared" si="21"/>
        <v>0</v>
      </c>
      <c r="V43">
        <f t="shared" si="22"/>
        <v>0</v>
      </c>
      <c r="W43">
        <f t="shared" si="23"/>
        <v>0</v>
      </c>
      <c r="X43">
        <f t="shared" si="24"/>
        <v>0</v>
      </c>
      <c r="Y43">
        <f t="shared" si="25"/>
        <v>0</v>
      </c>
      <c r="AA43">
        <v>26615678</v>
      </c>
      <c r="AB43">
        <f t="shared" si="26"/>
        <v>810.68</v>
      </c>
      <c r="AC43">
        <f t="shared" si="27"/>
        <v>810.68</v>
      </c>
      <c r="AD43">
        <f t="shared" si="28"/>
        <v>0</v>
      </c>
      <c r="AE43">
        <f t="shared" si="29"/>
        <v>0</v>
      </c>
      <c r="AF43">
        <f t="shared" si="30"/>
        <v>0</v>
      </c>
      <c r="AG43">
        <f t="shared" si="31"/>
        <v>0</v>
      </c>
      <c r="AH43">
        <f t="shared" si="32"/>
        <v>0</v>
      </c>
      <c r="AI43">
        <f t="shared" si="33"/>
        <v>0</v>
      </c>
      <c r="AJ43">
        <f t="shared" si="34"/>
        <v>0</v>
      </c>
      <c r="AK43">
        <v>810.68</v>
      </c>
      <c r="AL43">
        <v>810.68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70</v>
      </c>
      <c r="AU43">
        <v>10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H43">
        <v>3</v>
      </c>
      <c r="BI43">
        <v>4</v>
      </c>
      <c r="BJ43" t="s">
        <v>86</v>
      </c>
      <c r="BM43">
        <v>0</v>
      </c>
      <c r="BN43">
        <v>0</v>
      </c>
      <c r="BP43">
        <v>0</v>
      </c>
      <c r="BQ43">
        <v>1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70</v>
      </c>
      <c r="CA43">
        <v>10</v>
      </c>
      <c r="CF43">
        <v>0</v>
      </c>
      <c r="CG43">
        <v>0</v>
      </c>
      <c r="CM43">
        <v>0</v>
      </c>
      <c r="CO43">
        <v>0</v>
      </c>
      <c r="CP43">
        <f t="shared" si="35"/>
        <v>16943.21</v>
      </c>
      <c r="CQ43">
        <f t="shared" si="36"/>
        <v>810.68</v>
      </c>
      <c r="CR43">
        <f t="shared" si="37"/>
        <v>0</v>
      </c>
      <c r="CS43">
        <f t="shared" si="38"/>
        <v>0</v>
      </c>
      <c r="CT43">
        <f t="shared" si="39"/>
        <v>0</v>
      </c>
      <c r="CU43">
        <f t="shared" si="40"/>
        <v>0</v>
      </c>
      <c r="CV43">
        <f t="shared" si="41"/>
        <v>0</v>
      </c>
      <c r="CW43">
        <f t="shared" si="42"/>
        <v>0</v>
      </c>
      <c r="CX43">
        <f t="shared" si="43"/>
        <v>0</v>
      </c>
      <c r="CY43">
        <f t="shared" si="44"/>
        <v>0</v>
      </c>
      <c r="CZ43">
        <f t="shared" si="45"/>
        <v>0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85</v>
      </c>
      <c r="DW43" t="s">
        <v>85</v>
      </c>
      <c r="DX43">
        <v>1</v>
      </c>
      <c r="EE43">
        <v>25674155</v>
      </c>
      <c r="EF43">
        <v>1</v>
      </c>
      <c r="EG43" t="s">
        <v>19</v>
      </c>
      <c r="EH43">
        <v>0</v>
      </c>
      <c r="EJ43">
        <v>4</v>
      </c>
      <c r="EK43">
        <v>0</v>
      </c>
      <c r="EL43" t="s">
        <v>20</v>
      </c>
      <c r="EM43" t="s">
        <v>21</v>
      </c>
      <c r="EQ43">
        <v>0</v>
      </c>
      <c r="ER43">
        <v>810.68</v>
      </c>
      <c r="ES43">
        <v>810.68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6"/>
        <v>0</v>
      </c>
      <c r="FS43">
        <v>0</v>
      </c>
      <c r="FX43">
        <v>70</v>
      </c>
      <c r="FY43">
        <v>10</v>
      </c>
      <c r="GD43">
        <v>0</v>
      </c>
      <c r="GF43">
        <v>46053762</v>
      </c>
      <c r="GG43">
        <v>2</v>
      </c>
      <c r="GH43">
        <v>1</v>
      </c>
      <c r="GI43">
        <v>-2</v>
      </c>
      <c r="GJ43">
        <v>0</v>
      </c>
      <c r="GK43">
        <f>ROUND(R43*(R12)/100,2)</f>
        <v>0</v>
      </c>
      <c r="GL43">
        <f t="shared" si="47"/>
        <v>0</v>
      </c>
      <c r="GM43">
        <f t="shared" si="48"/>
        <v>16943.21</v>
      </c>
      <c r="GN43">
        <f t="shared" si="49"/>
        <v>0</v>
      </c>
      <c r="GO43">
        <f t="shared" si="50"/>
        <v>0</v>
      </c>
      <c r="GP43">
        <f t="shared" si="51"/>
        <v>16943.21</v>
      </c>
      <c r="GR43">
        <v>0</v>
      </c>
    </row>
    <row r="44" spans="1:200" ht="12.75">
      <c r="A44">
        <v>18</v>
      </c>
      <c r="B44">
        <v>1</v>
      </c>
      <c r="C44">
        <v>43</v>
      </c>
      <c r="E44" t="s">
        <v>87</v>
      </c>
      <c r="F44" t="s">
        <v>88</v>
      </c>
      <c r="G44" t="s">
        <v>89</v>
      </c>
      <c r="H44" t="s">
        <v>25</v>
      </c>
      <c r="I44">
        <f>I41*J44</f>
        <v>1</v>
      </c>
      <c r="J44">
        <v>4.784688995215311</v>
      </c>
      <c r="O44">
        <f t="shared" si="15"/>
        <v>316.95</v>
      </c>
      <c r="P44">
        <f t="shared" si="16"/>
        <v>316.95</v>
      </c>
      <c r="Q44">
        <f t="shared" si="17"/>
        <v>0</v>
      </c>
      <c r="R44">
        <f t="shared" si="18"/>
        <v>0</v>
      </c>
      <c r="S44">
        <f t="shared" si="19"/>
        <v>0</v>
      </c>
      <c r="T44">
        <f t="shared" si="20"/>
        <v>0</v>
      </c>
      <c r="U44">
        <f t="shared" si="21"/>
        <v>0</v>
      </c>
      <c r="V44">
        <f t="shared" si="22"/>
        <v>0</v>
      </c>
      <c r="W44">
        <f t="shared" si="23"/>
        <v>0</v>
      </c>
      <c r="X44">
        <f t="shared" si="24"/>
        <v>0</v>
      </c>
      <c r="Y44">
        <f t="shared" si="25"/>
        <v>0</v>
      </c>
      <c r="AA44">
        <v>26615678</v>
      </c>
      <c r="AB44">
        <f t="shared" si="26"/>
        <v>316.95</v>
      </c>
      <c r="AC44">
        <f t="shared" si="27"/>
        <v>316.95</v>
      </c>
      <c r="AD44">
        <f t="shared" si="28"/>
        <v>0</v>
      </c>
      <c r="AE44">
        <f t="shared" si="29"/>
        <v>0</v>
      </c>
      <c r="AF44">
        <f t="shared" si="30"/>
        <v>0</v>
      </c>
      <c r="AG44">
        <f t="shared" si="31"/>
        <v>0</v>
      </c>
      <c r="AH44">
        <f t="shared" si="32"/>
        <v>0</v>
      </c>
      <c r="AI44">
        <f t="shared" si="33"/>
        <v>0</v>
      </c>
      <c r="AJ44">
        <f t="shared" si="34"/>
        <v>0</v>
      </c>
      <c r="AK44">
        <v>316.95</v>
      </c>
      <c r="AL44">
        <v>316.95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70</v>
      </c>
      <c r="AU44">
        <v>10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H44">
        <v>3</v>
      </c>
      <c r="BI44">
        <v>4</v>
      </c>
      <c r="BM44">
        <v>0</v>
      </c>
      <c r="BN44">
        <v>0</v>
      </c>
      <c r="BP44">
        <v>0</v>
      </c>
      <c r="BQ44">
        <v>1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70</v>
      </c>
      <c r="CA44">
        <v>10</v>
      </c>
      <c r="CF44">
        <v>0</v>
      </c>
      <c r="CG44">
        <v>0</v>
      </c>
      <c r="CM44">
        <v>0</v>
      </c>
      <c r="CO44">
        <v>0</v>
      </c>
      <c r="CP44">
        <f t="shared" si="35"/>
        <v>316.95</v>
      </c>
      <c r="CQ44">
        <f t="shared" si="36"/>
        <v>316.95</v>
      </c>
      <c r="CR44">
        <f t="shared" si="37"/>
        <v>0</v>
      </c>
      <c r="CS44">
        <f t="shared" si="38"/>
        <v>0</v>
      </c>
      <c r="CT44">
        <f t="shared" si="39"/>
        <v>0</v>
      </c>
      <c r="CU44">
        <f t="shared" si="40"/>
        <v>0</v>
      </c>
      <c r="CV44">
        <f t="shared" si="41"/>
        <v>0</v>
      </c>
      <c r="CW44">
        <f t="shared" si="42"/>
        <v>0</v>
      </c>
      <c r="CX44">
        <f t="shared" si="43"/>
        <v>0</v>
      </c>
      <c r="CY44">
        <f t="shared" si="44"/>
        <v>0</v>
      </c>
      <c r="CZ44">
        <f t="shared" si="45"/>
        <v>0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25</v>
      </c>
      <c r="DW44" t="s">
        <v>25</v>
      </c>
      <c r="DX44">
        <v>1</v>
      </c>
      <c r="EE44">
        <v>25674155</v>
      </c>
      <c r="EF44">
        <v>1</v>
      </c>
      <c r="EG44" t="s">
        <v>19</v>
      </c>
      <c r="EH44">
        <v>0</v>
      </c>
      <c r="EJ44">
        <v>4</v>
      </c>
      <c r="EK44">
        <v>0</v>
      </c>
      <c r="EL44" t="s">
        <v>20</v>
      </c>
      <c r="EM44" t="s">
        <v>21</v>
      </c>
      <c r="EQ44">
        <v>0</v>
      </c>
      <c r="ER44">
        <v>0</v>
      </c>
      <c r="ES44">
        <v>316.95</v>
      </c>
      <c r="ET44">
        <v>0</v>
      </c>
      <c r="EU44">
        <v>0</v>
      </c>
      <c r="EV44">
        <v>0</v>
      </c>
      <c r="EW44">
        <v>0</v>
      </c>
      <c r="EX44">
        <v>0</v>
      </c>
      <c r="EZ44">
        <v>5</v>
      </c>
      <c r="FC44">
        <v>1</v>
      </c>
      <c r="FD44">
        <v>18</v>
      </c>
      <c r="FF44">
        <v>374</v>
      </c>
      <c r="FQ44">
        <v>0</v>
      </c>
      <c r="FR44">
        <f t="shared" si="46"/>
        <v>0</v>
      </c>
      <c r="FS44">
        <v>0</v>
      </c>
      <c r="FX44">
        <v>70</v>
      </c>
      <c r="FY44">
        <v>10</v>
      </c>
      <c r="GA44" t="s">
        <v>90</v>
      </c>
      <c r="GD44">
        <v>0</v>
      </c>
      <c r="GF44">
        <v>-2029574086</v>
      </c>
      <c r="GG44">
        <v>2</v>
      </c>
      <c r="GH44">
        <v>3</v>
      </c>
      <c r="GI44">
        <v>-2</v>
      </c>
      <c r="GJ44">
        <v>0</v>
      </c>
      <c r="GK44">
        <f>ROUND(R44*(R12)/100,2)</f>
        <v>0</v>
      </c>
      <c r="GL44">
        <f t="shared" si="47"/>
        <v>0</v>
      </c>
      <c r="GM44">
        <f t="shared" si="48"/>
        <v>316.95</v>
      </c>
      <c r="GN44">
        <f t="shared" si="49"/>
        <v>0</v>
      </c>
      <c r="GO44">
        <f t="shared" si="50"/>
        <v>0</v>
      </c>
      <c r="GP44">
        <f t="shared" si="51"/>
        <v>316.95</v>
      </c>
      <c r="GR44">
        <v>0</v>
      </c>
    </row>
    <row r="45" spans="1:200" ht="12.75">
      <c r="A45">
        <v>18</v>
      </c>
      <c r="B45">
        <v>1</v>
      </c>
      <c r="C45">
        <v>41</v>
      </c>
      <c r="E45" t="s">
        <v>91</v>
      </c>
      <c r="F45" t="s">
        <v>92</v>
      </c>
      <c r="G45" t="s">
        <v>93</v>
      </c>
      <c r="H45" t="s">
        <v>85</v>
      </c>
      <c r="I45">
        <f>I41*J45</f>
        <v>0.5</v>
      </c>
      <c r="J45">
        <v>2.3923444976076556</v>
      </c>
      <c r="O45">
        <f t="shared" si="15"/>
        <v>188.94</v>
      </c>
      <c r="P45">
        <f t="shared" si="16"/>
        <v>188.94</v>
      </c>
      <c r="Q45">
        <f t="shared" si="17"/>
        <v>0</v>
      </c>
      <c r="R45">
        <f t="shared" si="18"/>
        <v>0</v>
      </c>
      <c r="S45">
        <f t="shared" si="19"/>
        <v>0</v>
      </c>
      <c r="T45">
        <f t="shared" si="20"/>
        <v>0</v>
      </c>
      <c r="U45">
        <f t="shared" si="21"/>
        <v>0</v>
      </c>
      <c r="V45">
        <f t="shared" si="22"/>
        <v>0</v>
      </c>
      <c r="W45">
        <f t="shared" si="23"/>
        <v>0</v>
      </c>
      <c r="X45">
        <f t="shared" si="24"/>
        <v>0</v>
      </c>
      <c r="Y45">
        <f t="shared" si="25"/>
        <v>0</v>
      </c>
      <c r="AA45">
        <v>26615678</v>
      </c>
      <c r="AB45">
        <f t="shared" si="26"/>
        <v>377.87</v>
      </c>
      <c r="AC45">
        <f t="shared" si="27"/>
        <v>377.87</v>
      </c>
      <c r="AD45">
        <f t="shared" si="28"/>
        <v>0</v>
      </c>
      <c r="AE45">
        <f t="shared" si="29"/>
        <v>0</v>
      </c>
      <c r="AF45">
        <f t="shared" si="30"/>
        <v>0</v>
      </c>
      <c r="AG45">
        <f t="shared" si="31"/>
        <v>0</v>
      </c>
      <c r="AH45">
        <f t="shared" si="32"/>
        <v>0</v>
      </c>
      <c r="AI45">
        <f t="shared" si="33"/>
        <v>0</v>
      </c>
      <c r="AJ45">
        <f t="shared" si="34"/>
        <v>0</v>
      </c>
      <c r="AK45">
        <v>377.87</v>
      </c>
      <c r="AL45">
        <v>377.87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70</v>
      </c>
      <c r="AU45">
        <v>10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4</v>
      </c>
      <c r="BJ45" t="s">
        <v>94</v>
      </c>
      <c r="BM45">
        <v>0</v>
      </c>
      <c r="BN45">
        <v>0</v>
      </c>
      <c r="BP45">
        <v>0</v>
      </c>
      <c r="BQ45">
        <v>1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70</v>
      </c>
      <c r="CA45">
        <v>10</v>
      </c>
      <c r="CF45">
        <v>0</v>
      </c>
      <c r="CG45">
        <v>0</v>
      </c>
      <c r="CM45">
        <v>0</v>
      </c>
      <c r="CO45">
        <v>0</v>
      </c>
      <c r="CP45">
        <f t="shared" si="35"/>
        <v>188.94</v>
      </c>
      <c r="CQ45">
        <f t="shared" si="36"/>
        <v>377.87</v>
      </c>
      <c r="CR45">
        <f t="shared" si="37"/>
        <v>0</v>
      </c>
      <c r="CS45">
        <f t="shared" si="38"/>
        <v>0</v>
      </c>
      <c r="CT45">
        <f t="shared" si="39"/>
        <v>0</v>
      </c>
      <c r="CU45">
        <f t="shared" si="40"/>
        <v>0</v>
      </c>
      <c r="CV45">
        <f t="shared" si="41"/>
        <v>0</v>
      </c>
      <c r="CW45">
        <f t="shared" si="42"/>
        <v>0</v>
      </c>
      <c r="CX45">
        <f t="shared" si="43"/>
        <v>0</v>
      </c>
      <c r="CY45">
        <f t="shared" si="44"/>
        <v>0</v>
      </c>
      <c r="CZ45">
        <f t="shared" si="45"/>
        <v>0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85</v>
      </c>
      <c r="DW45" t="s">
        <v>85</v>
      </c>
      <c r="DX45">
        <v>1</v>
      </c>
      <c r="EE45">
        <v>25674155</v>
      </c>
      <c r="EF45">
        <v>1</v>
      </c>
      <c r="EG45" t="s">
        <v>19</v>
      </c>
      <c r="EH45">
        <v>0</v>
      </c>
      <c r="EJ45">
        <v>4</v>
      </c>
      <c r="EK45">
        <v>0</v>
      </c>
      <c r="EL45" t="s">
        <v>20</v>
      </c>
      <c r="EM45" t="s">
        <v>21</v>
      </c>
      <c r="EQ45">
        <v>0</v>
      </c>
      <c r="ER45">
        <v>377.87</v>
      </c>
      <c r="ES45">
        <v>377.87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6"/>
        <v>0</v>
      </c>
      <c r="FS45">
        <v>0</v>
      </c>
      <c r="FX45">
        <v>70</v>
      </c>
      <c r="FY45">
        <v>10</v>
      </c>
      <c r="GD45">
        <v>0</v>
      </c>
      <c r="GF45">
        <v>2049749360</v>
      </c>
      <c r="GG45">
        <v>2</v>
      </c>
      <c r="GH45">
        <v>1</v>
      </c>
      <c r="GI45">
        <v>-2</v>
      </c>
      <c r="GJ45">
        <v>0</v>
      </c>
      <c r="GK45">
        <f>ROUND(R45*(R12)/100,2)</f>
        <v>0</v>
      </c>
      <c r="GL45">
        <f t="shared" si="47"/>
        <v>0</v>
      </c>
      <c r="GM45">
        <f t="shared" si="48"/>
        <v>188.94</v>
      </c>
      <c r="GN45">
        <f t="shared" si="49"/>
        <v>0</v>
      </c>
      <c r="GO45">
        <f t="shared" si="50"/>
        <v>0</v>
      </c>
      <c r="GP45">
        <f t="shared" si="51"/>
        <v>188.94</v>
      </c>
      <c r="GR45">
        <v>0</v>
      </c>
    </row>
    <row r="46" spans="1:200" ht="12.75">
      <c r="A46">
        <v>18</v>
      </c>
      <c r="B46">
        <v>1</v>
      </c>
      <c r="C46">
        <v>40</v>
      </c>
      <c r="E46" t="s">
        <v>95</v>
      </c>
      <c r="F46" t="s">
        <v>96</v>
      </c>
      <c r="G46" t="s">
        <v>97</v>
      </c>
      <c r="H46" t="s">
        <v>85</v>
      </c>
      <c r="I46">
        <f>I41*J46</f>
        <v>0.015</v>
      </c>
      <c r="J46">
        <v>0.07177033492822966</v>
      </c>
      <c r="O46">
        <f t="shared" si="15"/>
        <v>5.7</v>
      </c>
      <c r="P46">
        <f t="shared" si="16"/>
        <v>5.7</v>
      </c>
      <c r="Q46">
        <f t="shared" si="17"/>
        <v>0</v>
      </c>
      <c r="R46">
        <f t="shared" si="18"/>
        <v>0</v>
      </c>
      <c r="S46">
        <f t="shared" si="19"/>
        <v>0</v>
      </c>
      <c r="T46">
        <f t="shared" si="20"/>
        <v>0</v>
      </c>
      <c r="U46">
        <f t="shared" si="21"/>
        <v>0</v>
      </c>
      <c r="V46">
        <f t="shared" si="22"/>
        <v>0</v>
      </c>
      <c r="W46">
        <f t="shared" si="23"/>
        <v>0</v>
      </c>
      <c r="X46">
        <f t="shared" si="24"/>
        <v>0</v>
      </c>
      <c r="Y46">
        <f t="shared" si="25"/>
        <v>0</v>
      </c>
      <c r="AA46">
        <v>26615678</v>
      </c>
      <c r="AB46">
        <f t="shared" si="26"/>
        <v>379.8</v>
      </c>
      <c r="AC46">
        <f t="shared" si="27"/>
        <v>379.8</v>
      </c>
      <c r="AD46">
        <f t="shared" si="28"/>
        <v>0</v>
      </c>
      <c r="AE46">
        <f t="shared" si="29"/>
        <v>0</v>
      </c>
      <c r="AF46">
        <f t="shared" si="30"/>
        <v>0</v>
      </c>
      <c r="AG46">
        <f t="shared" si="31"/>
        <v>0</v>
      </c>
      <c r="AH46">
        <f t="shared" si="32"/>
        <v>0</v>
      </c>
      <c r="AI46">
        <f t="shared" si="33"/>
        <v>0</v>
      </c>
      <c r="AJ46">
        <f t="shared" si="34"/>
        <v>0</v>
      </c>
      <c r="AK46">
        <v>379.8</v>
      </c>
      <c r="AL46">
        <v>379.8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70</v>
      </c>
      <c r="AU46">
        <v>10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H46">
        <v>3</v>
      </c>
      <c r="BI46">
        <v>4</v>
      </c>
      <c r="BJ46" t="s">
        <v>98</v>
      </c>
      <c r="BM46">
        <v>0</v>
      </c>
      <c r="BN46">
        <v>0</v>
      </c>
      <c r="BP46">
        <v>0</v>
      </c>
      <c r="BQ46">
        <v>1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70</v>
      </c>
      <c r="CA46">
        <v>10</v>
      </c>
      <c r="CF46">
        <v>0</v>
      </c>
      <c r="CG46">
        <v>0</v>
      </c>
      <c r="CM46">
        <v>0</v>
      </c>
      <c r="CO46">
        <v>0</v>
      </c>
      <c r="CP46">
        <f t="shared" si="35"/>
        <v>5.7</v>
      </c>
      <c r="CQ46">
        <f t="shared" si="36"/>
        <v>379.8</v>
      </c>
      <c r="CR46">
        <f t="shared" si="37"/>
        <v>0</v>
      </c>
      <c r="CS46">
        <f t="shared" si="38"/>
        <v>0</v>
      </c>
      <c r="CT46">
        <f t="shared" si="39"/>
        <v>0</v>
      </c>
      <c r="CU46">
        <f t="shared" si="40"/>
        <v>0</v>
      </c>
      <c r="CV46">
        <f t="shared" si="41"/>
        <v>0</v>
      </c>
      <c r="CW46">
        <f t="shared" si="42"/>
        <v>0</v>
      </c>
      <c r="CX46">
        <f t="shared" si="43"/>
        <v>0</v>
      </c>
      <c r="CY46">
        <f t="shared" si="44"/>
        <v>0</v>
      </c>
      <c r="CZ46">
        <f t="shared" si="45"/>
        <v>0</v>
      </c>
      <c r="DN46">
        <v>0</v>
      </c>
      <c r="DO46">
        <v>0</v>
      </c>
      <c r="DP46">
        <v>1</v>
      </c>
      <c r="DQ46">
        <v>1</v>
      </c>
      <c r="DU46">
        <v>1013</v>
      </c>
      <c r="DV46" t="s">
        <v>85</v>
      </c>
      <c r="DW46" t="s">
        <v>85</v>
      </c>
      <c r="DX46">
        <v>1</v>
      </c>
      <c r="EE46">
        <v>25674155</v>
      </c>
      <c r="EF46">
        <v>1</v>
      </c>
      <c r="EG46" t="s">
        <v>19</v>
      </c>
      <c r="EH46">
        <v>0</v>
      </c>
      <c r="EJ46">
        <v>4</v>
      </c>
      <c r="EK46">
        <v>0</v>
      </c>
      <c r="EL46" t="s">
        <v>20</v>
      </c>
      <c r="EM46" t="s">
        <v>21</v>
      </c>
      <c r="EQ46">
        <v>0</v>
      </c>
      <c r="ER46">
        <v>379.8</v>
      </c>
      <c r="ES46">
        <v>379.8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46"/>
        <v>0</v>
      </c>
      <c r="FS46">
        <v>0</v>
      </c>
      <c r="FX46">
        <v>70</v>
      </c>
      <c r="FY46">
        <v>10</v>
      </c>
      <c r="GD46">
        <v>0</v>
      </c>
      <c r="GF46">
        <v>-244736232</v>
      </c>
      <c r="GG46">
        <v>2</v>
      </c>
      <c r="GH46">
        <v>1</v>
      </c>
      <c r="GI46">
        <v>-2</v>
      </c>
      <c r="GJ46">
        <v>0</v>
      </c>
      <c r="GK46">
        <f>ROUND(R46*(R12)/100,2)</f>
        <v>0</v>
      </c>
      <c r="GL46">
        <f t="shared" si="47"/>
        <v>0</v>
      </c>
      <c r="GM46">
        <f t="shared" si="48"/>
        <v>5.7</v>
      </c>
      <c r="GN46">
        <f t="shared" si="49"/>
        <v>0</v>
      </c>
      <c r="GO46">
        <f t="shared" si="50"/>
        <v>0</v>
      </c>
      <c r="GP46">
        <f t="shared" si="51"/>
        <v>5.7</v>
      </c>
      <c r="GR46">
        <v>0</v>
      </c>
    </row>
    <row r="47" spans="1:200" ht="12.75">
      <c r="A47">
        <v>17</v>
      </c>
      <c r="B47">
        <v>1</v>
      </c>
      <c r="C47">
        <f>ROW(SmtRes!A54)</f>
        <v>54</v>
      </c>
      <c r="D47">
        <f>ROW(EtalonRes!A53)</f>
        <v>53</v>
      </c>
      <c r="E47" t="s">
        <v>99</v>
      </c>
      <c r="F47" t="s">
        <v>100</v>
      </c>
      <c r="G47" t="s">
        <v>101</v>
      </c>
      <c r="H47" t="s">
        <v>76</v>
      </c>
      <c r="I47">
        <v>0.63</v>
      </c>
      <c r="J47">
        <v>0</v>
      </c>
      <c r="O47">
        <f t="shared" si="15"/>
        <v>19186.81</v>
      </c>
      <c r="P47">
        <f t="shared" si="16"/>
        <v>1704.32</v>
      </c>
      <c r="Q47">
        <f t="shared" si="17"/>
        <v>43.69</v>
      </c>
      <c r="R47">
        <f t="shared" si="18"/>
        <v>10.06</v>
      </c>
      <c r="S47">
        <f t="shared" si="19"/>
        <v>17438.8</v>
      </c>
      <c r="T47">
        <f t="shared" si="20"/>
        <v>0</v>
      </c>
      <c r="U47">
        <f t="shared" si="21"/>
        <v>102.1545</v>
      </c>
      <c r="V47">
        <f t="shared" si="22"/>
        <v>0</v>
      </c>
      <c r="W47">
        <f t="shared" si="23"/>
        <v>0</v>
      </c>
      <c r="X47">
        <f t="shared" si="24"/>
        <v>12207.16</v>
      </c>
      <c r="Y47">
        <f t="shared" si="25"/>
        <v>1743.88</v>
      </c>
      <c r="AA47">
        <v>26615678</v>
      </c>
      <c r="AB47">
        <f t="shared" si="26"/>
        <v>30455.25</v>
      </c>
      <c r="AC47">
        <f t="shared" si="27"/>
        <v>2705.27</v>
      </c>
      <c r="AD47">
        <f t="shared" si="28"/>
        <v>69.35</v>
      </c>
      <c r="AE47">
        <f t="shared" si="29"/>
        <v>15.97</v>
      </c>
      <c r="AF47">
        <f t="shared" si="30"/>
        <v>27680.63</v>
      </c>
      <c r="AG47">
        <f t="shared" si="31"/>
        <v>0</v>
      </c>
      <c r="AH47">
        <f t="shared" si="32"/>
        <v>162.15</v>
      </c>
      <c r="AI47">
        <f t="shared" si="33"/>
        <v>0</v>
      </c>
      <c r="AJ47">
        <f t="shared" si="34"/>
        <v>0</v>
      </c>
      <c r="AK47">
        <v>30455.25</v>
      </c>
      <c r="AL47">
        <v>2705.27</v>
      </c>
      <c r="AM47">
        <v>69.35</v>
      </c>
      <c r="AN47">
        <v>15.97</v>
      </c>
      <c r="AO47">
        <v>27680.63</v>
      </c>
      <c r="AP47">
        <v>0</v>
      </c>
      <c r="AQ47">
        <v>162.15</v>
      </c>
      <c r="AR47">
        <v>0</v>
      </c>
      <c r="AS47">
        <v>0</v>
      </c>
      <c r="AT47">
        <v>70</v>
      </c>
      <c r="AU47">
        <v>10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H47">
        <v>0</v>
      </c>
      <c r="BI47">
        <v>4</v>
      </c>
      <c r="BJ47" t="s">
        <v>102</v>
      </c>
      <c r="BM47">
        <v>0</v>
      </c>
      <c r="BN47">
        <v>0</v>
      </c>
      <c r="BP47">
        <v>0</v>
      </c>
      <c r="BQ47">
        <v>1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70</v>
      </c>
      <c r="CA47">
        <v>10</v>
      </c>
      <c r="CF47">
        <v>0</v>
      </c>
      <c r="CG47">
        <v>0</v>
      </c>
      <c r="CM47">
        <v>0</v>
      </c>
      <c r="CO47">
        <v>0</v>
      </c>
      <c r="CP47">
        <f t="shared" si="35"/>
        <v>19186.809999999998</v>
      </c>
      <c r="CQ47">
        <f t="shared" si="36"/>
        <v>2705.27</v>
      </c>
      <c r="CR47">
        <f t="shared" si="37"/>
        <v>69.35</v>
      </c>
      <c r="CS47">
        <f t="shared" si="38"/>
        <v>15.97</v>
      </c>
      <c r="CT47">
        <f t="shared" si="39"/>
        <v>27680.63</v>
      </c>
      <c r="CU47">
        <f t="shared" si="40"/>
        <v>0</v>
      </c>
      <c r="CV47">
        <f t="shared" si="41"/>
        <v>162.15</v>
      </c>
      <c r="CW47">
        <f t="shared" si="42"/>
        <v>0</v>
      </c>
      <c r="CX47">
        <f t="shared" si="43"/>
        <v>0</v>
      </c>
      <c r="CY47">
        <f t="shared" si="44"/>
        <v>12207.16</v>
      </c>
      <c r="CZ47">
        <f t="shared" si="45"/>
        <v>1743.88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76</v>
      </c>
      <c r="DW47" t="s">
        <v>76</v>
      </c>
      <c r="DX47">
        <v>1</v>
      </c>
      <c r="EE47">
        <v>25674155</v>
      </c>
      <c r="EF47">
        <v>1</v>
      </c>
      <c r="EG47" t="s">
        <v>19</v>
      </c>
      <c r="EH47">
        <v>0</v>
      </c>
      <c r="EJ47">
        <v>4</v>
      </c>
      <c r="EK47">
        <v>0</v>
      </c>
      <c r="EL47" t="s">
        <v>20</v>
      </c>
      <c r="EM47" t="s">
        <v>21</v>
      </c>
      <c r="EQ47">
        <v>0</v>
      </c>
      <c r="ER47">
        <v>30455.25</v>
      </c>
      <c r="ES47">
        <v>2705.27</v>
      </c>
      <c r="ET47">
        <v>69.35</v>
      </c>
      <c r="EU47">
        <v>15.97</v>
      </c>
      <c r="EV47">
        <v>27680.63</v>
      </c>
      <c r="EW47">
        <v>162.15</v>
      </c>
      <c r="EX47">
        <v>0</v>
      </c>
      <c r="EY47">
        <v>0</v>
      </c>
      <c r="FQ47">
        <v>0</v>
      </c>
      <c r="FR47">
        <f t="shared" si="46"/>
        <v>0</v>
      </c>
      <c r="FS47">
        <v>0</v>
      </c>
      <c r="FX47">
        <v>70</v>
      </c>
      <c r="FY47">
        <v>10</v>
      </c>
      <c r="GD47">
        <v>0</v>
      </c>
      <c r="GF47">
        <v>-869117989</v>
      </c>
      <c r="GG47">
        <v>2</v>
      </c>
      <c r="GH47">
        <v>1</v>
      </c>
      <c r="GI47">
        <v>-2</v>
      </c>
      <c r="GJ47">
        <v>0</v>
      </c>
      <c r="GK47">
        <f>ROUND(R47*(R12)/100,2)</f>
        <v>10.86</v>
      </c>
      <c r="GL47">
        <f t="shared" si="47"/>
        <v>0</v>
      </c>
      <c r="GM47">
        <f t="shared" si="48"/>
        <v>33148.71</v>
      </c>
      <c r="GN47">
        <f t="shared" si="49"/>
        <v>0</v>
      </c>
      <c r="GO47">
        <f t="shared" si="50"/>
        <v>0</v>
      </c>
      <c r="GP47">
        <f t="shared" si="51"/>
        <v>33148.71</v>
      </c>
      <c r="GR47">
        <v>0</v>
      </c>
    </row>
    <row r="48" spans="1:200" ht="12.75">
      <c r="A48">
        <v>18</v>
      </c>
      <c r="B48">
        <v>1</v>
      </c>
      <c r="C48">
        <v>52</v>
      </c>
      <c r="E48" t="s">
        <v>103</v>
      </c>
      <c r="F48" t="s">
        <v>104</v>
      </c>
      <c r="G48" t="s">
        <v>105</v>
      </c>
      <c r="H48" t="s">
        <v>17</v>
      </c>
      <c r="I48">
        <f>I47*J48</f>
        <v>6</v>
      </c>
      <c r="J48">
        <v>9.523809523809524</v>
      </c>
      <c r="O48">
        <f t="shared" si="15"/>
        <v>8534.88</v>
      </c>
      <c r="P48">
        <f t="shared" si="16"/>
        <v>8534.88</v>
      </c>
      <c r="Q48">
        <f t="shared" si="17"/>
        <v>0</v>
      </c>
      <c r="R48">
        <f t="shared" si="18"/>
        <v>0</v>
      </c>
      <c r="S48">
        <f t="shared" si="19"/>
        <v>0</v>
      </c>
      <c r="T48">
        <f t="shared" si="20"/>
        <v>0</v>
      </c>
      <c r="U48">
        <f t="shared" si="21"/>
        <v>0</v>
      </c>
      <c r="V48">
        <f t="shared" si="22"/>
        <v>0</v>
      </c>
      <c r="W48">
        <f t="shared" si="23"/>
        <v>0</v>
      </c>
      <c r="X48">
        <f t="shared" si="24"/>
        <v>0</v>
      </c>
      <c r="Y48">
        <f t="shared" si="25"/>
        <v>0</v>
      </c>
      <c r="AA48">
        <v>26615678</v>
      </c>
      <c r="AB48">
        <f t="shared" si="26"/>
        <v>1422.48</v>
      </c>
      <c r="AC48">
        <f t="shared" si="27"/>
        <v>1422.48</v>
      </c>
      <c r="AD48">
        <f t="shared" si="28"/>
        <v>0</v>
      </c>
      <c r="AE48">
        <f t="shared" si="29"/>
        <v>0</v>
      </c>
      <c r="AF48">
        <f t="shared" si="30"/>
        <v>0</v>
      </c>
      <c r="AG48">
        <f t="shared" si="31"/>
        <v>0</v>
      </c>
      <c r="AH48">
        <f t="shared" si="32"/>
        <v>0</v>
      </c>
      <c r="AI48">
        <f t="shared" si="33"/>
        <v>0</v>
      </c>
      <c r="AJ48">
        <f t="shared" si="34"/>
        <v>0</v>
      </c>
      <c r="AK48">
        <v>1422.48</v>
      </c>
      <c r="AL48">
        <v>1422.48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70</v>
      </c>
      <c r="AU48">
        <v>10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H48">
        <v>3</v>
      </c>
      <c r="BI48">
        <v>4</v>
      </c>
      <c r="BJ48" t="s">
        <v>106</v>
      </c>
      <c r="BM48">
        <v>0</v>
      </c>
      <c r="BN48">
        <v>0</v>
      </c>
      <c r="BP48">
        <v>0</v>
      </c>
      <c r="BQ48">
        <v>1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70</v>
      </c>
      <c r="CA48">
        <v>10</v>
      </c>
      <c r="CF48">
        <v>0</v>
      </c>
      <c r="CG48">
        <v>0</v>
      </c>
      <c r="CM48">
        <v>0</v>
      </c>
      <c r="CO48">
        <v>0</v>
      </c>
      <c r="CP48">
        <f t="shared" si="35"/>
        <v>8534.88</v>
      </c>
      <c r="CQ48">
        <f t="shared" si="36"/>
        <v>1422.48</v>
      </c>
      <c r="CR48">
        <f t="shared" si="37"/>
        <v>0</v>
      </c>
      <c r="CS48">
        <f t="shared" si="38"/>
        <v>0</v>
      </c>
      <c r="CT48">
        <f t="shared" si="39"/>
        <v>0</v>
      </c>
      <c r="CU48">
        <f t="shared" si="40"/>
        <v>0</v>
      </c>
      <c r="CV48">
        <f t="shared" si="41"/>
        <v>0</v>
      </c>
      <c r="CW48">
        <f t="shared" si="42"/>
        <v>0</v>
      </c>
      <c r="CX48">
        <f t="shared" si="43"/>
        <v>0</v>
      </c>
      <c r="CY48">
        <f t="shared" si="44"/>
        <v>0</v>
      </c>
      <c r="CZ48">
        <f t="shared" si="45"/>
        <v>0</v>
      </c>
      <c r="DN48">
        <v>0</v>
      </c>
      <c r="DO48">
        <v>0</v>
      </c>
      <c r="DP48">
        <v>1</v>
      </c>
      <c r="DQ48">
        <v>1</v>
      </c>
      <c r="DU48">
        <v>1013</v>
      </c>
      <c r="DV48" t="s">
        <v>17</v>
      </c>
      <c r="DW48" t="s">
        <v>17</v>
      </c>
      <c r="DX48">
        <v>1</v>
      </c>
      <c r="EE48">
        <v>25674155</v>
      </c>
      <c r="EF48">
        <v>1</v>
      </c>
      <c r="EG48" t="s">
        <v>19</v>
      </c>
      <c r="EH48">
        <v>0</v>
      </c>
      <c r="EJ48">
        <v>4</v>
      </c>
      <c r="EK48">
        <v>0</v>
      </c>
      <c r="EL48" t="s">
        <v>20</v>
      </c>
      <c r="EM48" t="s">
        <v>21</v>
      </c>
      <c r="EQ48">
        <v>0</v>
      </c>
      <c r="ER48">
        <v>1422.48</v>
      </c>
      <c r="ES48">
        <v>1422.48</v>
      </c>
      <c r="ET48">
        <v>0</v>
      </c>
      <c r="EU48">
        <v>0</v>
      </c>
      <c r="EV48">
        <v>0</v>
      </c>
      <c r="EW48">
        <v>0</v>
      </c>
      <c r="EX48">
        <v>0</v>
      </c>
      <c r="FQ48">
        <v>0</v>
      </c>
      <c r="FR48">
        <f t="shared" si="46"/>
        <v>0</v>
      </c>
      <c r="FS48">
        <v>0</v>
      </c>
      <c r="FX48">
        <v>70</v>
      </c>
      <c r="FY48">
        <v>10</v>
      </c>
      <c r="GD48">
        <v>0</v>
      </c>
      <c r="GF48">
        <v>1841461382</v>
      </c>
      <c r="GG48">
        <v>2</v>
      </c>
      <c r="GH48">
        <v>1</v>
      </c>
      <c r="GI48">
        <v>-2</v>
      </c>
      <c r="GJ48">
        <v>0</v>
      </c>
      <c r="GK48">
        <f>ROUND(R48*(R12)/100,2)</f>
        <v>0</v>
      </c>
      <c r="GL48">
        <f t="shared" si="47"/>
        <v>0</v>
      </c>
      <c r="GM48">
        <f t="shared" si="48"/>
        <v>8534.88</v>
      </c>
      <c r="GN48">
        <f t="shared" si="49"/>
        <v>0</v>
      </c>
      <c r="GO48">
        <f t="shared" si="50"/>
        <v>0</v>
      </c>
      <c r="GP48">
        <f t="shared" si="51"/>
        <v>8534.88</v>
      </c>
      <c r="GR48">
        <v>0</v>
      </c>
    </row>
    <row r="49" spans="1:200" ht="12.75">
      <c r="A49">
        <v>18</v>
      </c>
      <c r="B49">
        <v>1</v>
      </c>
      <c r="C49">
        <v>53</v>
      </c>
      <c r="E49" t="s">
        <v>107</v>
      </c>
      <c r="F49" t="s">
        <v>108</v>
      </c>
      <c r="G49" t="s">
        <v>109</v>
      </c>
      <c r="H49" t="s">
        <v>85</v>
      </c>
      <c r="I49">
        <f>I47*J49</f>
        <v>63</v>
      </c>
      <c r="J49">
        <v>100</v>
      </c>
      <c r="O49">
        <f t="shared" si="15"/>
        <v>49673.61</v>
      </c>
      <c r="P49">
        <f t="shared" si="16"/>
        <v>49673.61</v>
      </c>
      <c r="Q49">
        <f t="shared" si="17"/>
        <v>0</v>
      </c>
      <c r="R49">
        <f t="shared" si="18"/>
        <v>0</v>
      </c>
      <c r="S49">
        <f t="shared" si="19"/>
        <v>0</v>
      </c>
      <c r="T49">
        <f t="shared" si="20"/>
        <v>0</v>
      </c>
      <c r="U49">
        <f t="shared" si="21"/>
        <v>0</v>
      </c>
      <c r="V49">
        <f t="shared" si="22"/>
        <v>0</v>
      </c>
      <c r="W49">
        <f t="shared" si="23"/>
        <v>0</v>
      </c>
      <c r="X49">
        <f t="shared" si="24"/>
        <v>0</v>
      </c>
      <c r="Y49">
        <f t="shared" si="25"/>
        <v>0</v>
      </c>
      <c r="AA49">
        <v>26615678</v>
      </c>
      <c r="AB49">
        <f t="shared" si="26"/>
        <v>788.47</v>
      </c>
      <c r="AC49">
        <f t="shared" si="27"/>
        <v>788.47</v>
      </c>
      <c r="AD49">
        <f t="shared" si="28"/>
        <v>0</v>
      </c>
      <c r="AE49">
        <f t="shared" si="29"/>
        <v>0</v>
      </c>
      <c r="AF49">
        <f t="shared" si="30"/>
        <v>0</v>
      </c>
      <c r="AG49">
        <f t="shared" si="31"/>
        <v>0</v>
      </c>
      <c r="AH49">
        <f t="shared" si="32"/>
        <v>0</v>
      </c>
      <c r="AI49">
        <f t="shared" si="33"/>
        <v>0</v>
      </c>
      <c r="AJ49">
        <f t="shared" si="34"/>
        <v>0</v>
      </c>
      <c r="AK49">
        <v>788.47</v>
      </c>
      <c r="AL49">
        <v>788.47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70</v>
      </c>
      <c r="AU49">
        <v>10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H49">
        <v>3</v>
      </c>
      <c r="BI49">
        <v>4</v>
      </c>
      <c r="BJ49" t="s">
        <v>110</v>
      </c>
      <c r="BM49">
        <v>0</v>
      </c>
      <c r="BN49">
        <v>0</v>
      </c>
      <c r="BP49">
        <v>0</v>
      </c>
      <c r="BQ49">
        <v>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70</v>
      </c>
      <c r="CA49">
        <v>10</v>
      </c>
      <c r="CF49">
        <v>0</v>
      </c>
      <c r="CG49">
        <v>0</v>
      </c>
      <c r="CM49">
        <v>0</v>
      </c>
      <c r="CO49">
        <v>0</v>
      </c>
      <c r="CP49">
        <f t="shared" si="35"/>
        <v>49673.61</v>
      </c>
      <c r="CQ49">
        <f t="shared" si="36"/>
        <v>788.47</v>
      </c>
      <c r="CR49">
        <f t="shared" si="37"/>
        <v>0</v>
      </c>
      <c r="CS49">
        <f t="shared" si="38"/>
        <v>0</v>
      </c>
      <c r="CT49">
        <f t="shared" si="39"/>
        <v>0</v>
      </c>
      <c r="CU49">
        <f t="shared" si="40"/>
        <v>0</v>
      </c>
      <c r="CV49">
        <f t="shared" si="41"/>
        <v>0</v>
      </c>
      <c r="CW49">
        <f t="shared" si="42"/>
        <v>0</v>
      </c>
      <c r="CX49">
        <f t="shared" si="43"/>
        <v>0</v>
      </c>
      <c r="CY49">
        <f t="shared" si="44"/>
        <v>0</v>
      </c>
      <c r="CZ49">
        <f t="shared" si="45"/>
        <v>0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85</v>
      </c>
      <c r="DW49" t="s">
        <v>85</v>
      </c>
      <c r="DX49">
        <v>1</v>
      </c>
      <c r="EE49">
        <v>25674155</v>
      </c>
      <c r="EF49">
        <v>1</v>
      </c>
      <c r="EG49" t="s">
        <v>19</v>
      </c>
      <c r="EH49">
        <v>0</v>
      </c>
      <c r="EJ49">
        <v>4</v>
      </c>
      <c r="EK49">
        <v>0</v>
      </c>
      <c r="EL49" t="s">
        <v>20</v>
      </c>
      <c r="EM49" t="s">
        <v>21</v>
      </c>
      <c r="EQ49">
        <v>0</v>
      </c>
      <c r="ER49">
        <v>788.47</v>
      </c>
      <c r="ES49">
        <v>788.47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6"/>
        <v>0</v>
      </c>
      <c r="FS49">
        <v>0</v>
      </c>
      <c r="FX49">
        <v>70</v>
      </c>
      <c r="FY49">
        <v>10</v>
      </c>
      <c r="GD49">
        <v>0</v>
      </c>
      <c r="GF49">
        <v>1654362007</v>
      </c>
      <c r="GG49">
        <v>2</v>
      </c>
      <c r="GH49">
        <v>1</v>
      </c>
      <c r="GI49">
        <v>-2</v>
      </c>
      <c r="GJ49">
        <v>0</v>
      </c>
      <c r="GK49">
        <f>ROUND(R49*(R12)/100,2)</f>
        <v>0</v>
      </c>
      <c r="GL49">
        <f t="shared" si="47"/>
        <v>0</v>
      </c>
      <c r="GM49">
        <f t="shared" si="48"/>
        <v>49673.61</v>
      </c>
      <c r="GN49">
        <f t="shared" si="49"/>
        <v>0</v>
      </c>
      <c r="GO49">
        <f t="shared" si="50"/>
        <v>0</v>
      </c>
      <c r="GP49">
        <f t="shared" si="51"/>
        <v>49673.61</v>
      </c>
      <c r="GR49">
        <v>0</v>
      </c>
    </row>
    <row r="50" spans="1:200" ht="12.75">
      <c r="A50">
        <v>18</v>
      </c>
      <c r="B50">
        <v>1</v>
      </c>
      <c r="C50">
        <v>54</v>
      </c>
      <c r="E50" t="s">
        <v>111</v>
      </c>
      <c r="F50" t="s">
        <v>88</v>
      </c>
      <c r="G50" t="s">
        <v>89</v>
      </c>
      <c r="H50" t="s">
        <v>25</v>
      </c>
      <c r="I50">
        <f>I47*J50</f>
        <v>2</v>
      </c>
      <c r="J50">
        <v>3.1746031746031744</v>
      </c>
      <c r="O50">
        <f t="shared" si="15"/>
        <v>633.9</v>
      </c>
      <c r="P50">
        <f t="shared" si="16"/>
        <v>633.9</v>
      </c>
      <c r="Q50">
        <f t="shared" si="17"/>
        <v>0</v>
      </c>
      <c r="R50">
        <f t="shared" si="18"/>
        <v>0</v>
      </c>
      <c r="S50">
        <f t="shared" si="19"/>
        <v>0</v>
      </c>
      <c r="T50">
        <f t="shared" si="20"/>
        <v>0</v>
      </c>
      <c r="U50">
        <f t="shared" si="21"/>
        <v>0</v>
      </c>
      <c r="V50">
        <f t="shared" si="22"/>
        <v>0</v>
      </c>
      <c r="W50">
        <f t="shared" si="23"/>
        <v>0</v>
      </c>
      <c r="X50">
        <f t="shared" si="24"/>
        <v>0</v>
      </c>
      <c r="Y50">
        <f t="shared" si="25"/>
        <v>0</v>
      </c>
      <c r="AA50">
        <v>26615678</v>
      </c>
      <c r="AB50">
        <f t="shared" si="26"/>
        <v>316.95</v>
      </c>
      <c r="AC50">
        <f t="shared" si="27"/>
        <v>316.95</v>
      </c>
      <c r="AD50">
        <f t="shared" si="28"/>
        <v>0</v>
      </c>
      <c r="AE50">
        <f t="shared" si="29"/>
        <v>0</v>
      </c>
      <c r="AF50">
        <f t="shared" si="30"/>
        <v>0</v>
      </c>
      <c r="AG50">
        <f t="shared" si="31"/>
        <v>0</v>
      </c>
      <c r="AH50">
        <f t="shared" si="32"/>
        <v>0</v>
      </c>
      <c r="AI50">
        <f t="shared" si="33"/>
        <v>0</v>
      </c>
      <c r="AJ50">
        <f t="shared" si="34"/>
        <v>0</v>
      </c>
      <c r="AK50">
        <v>316.95</v>
      </c>
      <c r="AL50">
        <v>316.95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70</v>
      </c>
      <c r="AU50">
        <v>10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H50">
        <v>3</v>
      </c>
      <c r="BI50">
        <v>4</v>
      </c>
      <c r="BM50">
        <v>0</v>
      </c>
      <c r="BN50">
        <v>0</v>
      </c>
      <c r="BP50">
        <v>0</v>
      </c>
      <c r="BQ50">
        <v>1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70</v>
      </c>
      <c r="CA50">
        <v>10</v>
      </c>
      <c r="CF50">
        <v>0</v>
      </c>
      <c r="CG50">
        <v>0</v>
      </c>
      <c r="CM50">
        <v>0</v>
      </c>
      <c r="CO50">
        <v>0</v>
      </c>
      <c r="CP50">
        <f t="shared" si="35"/>
        <v>633.9</v>
      </c>
      <c r="CQ50">
        <f t="shared" si="36"/>
        <v>316.95</v>
      </c>
      <c r="CR50">
        <f t="shared" si="37"/>
        <v>0</v>
      </c>
      <c r="CS50">
        <f t="shared" si="38"/>
        <v>0</v>
      </c>
      <c r="CT50">
        <f t="shared" si="39"/>
        <v>0</v>
      </c>
      <c r="CU50">
        <f t="shared" si="40"/>
        <v>0</v>
      </c>
      <c r="CV50">
        <f t="shared" si="41"/>
        <v>0</v>
      </c>
      <c r="CW50">
        <f t="shared" si="42"/>
        <v>0</v>
      </c>
      <c r="CX50">
        <f t="shared" si="43"/>
        <v>0</v>
      </c>
      <c r="CY50">
        <f t="shared" si="44"/>
        <v>0</v>
      </c>
      <c r="CZ50">
        <f t="shared" si="45"/>
        <v>0</v>
      </c>
      <c r="DN50">
        <v>0</v>
      </c>
      <c r="DO50">
        <v>0</v>
      </c>
      <c r="DP50">
        <v>1</v>
      </c>
      <c r="DQ50">
        <v>1</v>
      </c>
      <c r="DU50">
        <v>1013</v>
      </c>
      <c r="DV50" t="s">
        <v>25</v>
      </c>
      <c r="DW50" t="s">
        <v>25</v>
      </c>
      <c r="DX50">
        <v>1</v>
      </c>
      <c r="EE50">
        <v>25674155</v>
      </c>
      <c r="EF50">
        <v>1</v>
      </c>
      <c r="EG50" t="s">
        <v>19</v>
      </c>
      <c r="EH50">
        <v>0</v>
      </c>
      <c r="EJ50">
        <v>4</v>
      </c>
      <c r="EK50">
        <v>0</v>
      </c>
      <c r="EL50" t="s">
        <v>20</v>
      </c>
      <c r="EM50" t="s">
        <v>21</v>
      </c>
      <c r="EQ50">
        <v>0</v>
      </c>
      <c r="ER50">
        <v>0</v>
      </c>
      <c r="ES50">
        <v>316.95</v>
      </c>
      <c r="ET50">
        <v>0</v>
      </c>
      <c r="EU50">
        <v>0</v>
      </c>
      <c r="EV50">
        <v>0</v>
      </c>
      <c r="EW50">
        <v>0</v>
      </c>
      <c r="EX50">
        <v>0</v>
      </c>
      <c r="EZ50">
        <v>5</v>
      </c>
      <c r="FC50">
        <v>1</v>
      </c>
      <c r="FD50">
        <v>18</v>
      </c>
      <c r="FF50">
        <v>374</v>
      </c>
      <c r="FQ50">
        <v>0</v>
      </c>
      <c r="FR50">
        <f t="shared" si="46"/>
        <v>0</v>
      </c>
      <c r="FS50">
        <v>0</v>
      </c>
      <c r="FX50">
        <v>70</v>
      </c>
      <c r="FY50">
        <v>10</v>
      </c>
      <c r="GA50" t="s">
        <v>90</v>
      </c>
      <c r="GD50">
        <v>0</v>
      </c>
      <c r="GF50">
        <v>-2029574086</v>
      </c>
      <c r="GG50">
        <v>2</v>
      </c>
      <c r="GH50">
        <v>3</v>
      </c>
      <c r="GI50">
        <v>-2</v>
      </c>
      <c r="GJ50">
        <v>0</v>
      </c>
      <c r="GK50">
        <f>ROUND(R50*(R12)/100,2)</f>
        <v>0</v>
      </c>
      <c r="GL50">
        <f t="shared" si="47"/>
        <v>0</v>
      </c>
      <c r="GM50">
        <f t="shared" si="48"/>
        <v>633.9</v>
      </c>
      <c r="GN50">
        <f t="shared" si="49"/>
        <v>0</v>
      </c>
      <c r="GO50">
        <f t="shared" si="50"/>
        <v>0</v>
      </c>
      <c r="GP50">
        <f t="shared" si="51"/>
        <v>633.9</v>
      </c>
      <c r="GR50">
        <v>0</v>
      </c>
    </row>
    <row r="51" spans="1:200" ht="12.75">
      <c r="A51">
        <v>17</v>
      </c>
      <c r="B51">
        <v>1</v>
      </c>
      <c r="C51">
        <f>ROW(SmtRes!A65)</f>
        <v>65</v>
      </c>
      <c r="D51">
        <f>ROW(EtalonRes!A67)</f>
        <v>67</v>
      </c>
      <c r="E51" t="s">
        <v>112</v>
      </c>
      <c r="F51" t="s">
        <v>113</v>
      </c>
      <c r="G51" t="s">
        <v>114</v>
      </c>
      <c r="H51" t="s">
        <v>76</v>
      </c>
      <c r="I51">
        <v>0.174</v>
      </c>
      <c r="J51">
        <v>0</v>
      </c>
      <c r="O51">
        <f t="shared" si="15"/>
        <v>4927.39</v>
      </c>
      <c r="P51">
        <f t="shared" si="16"/>
        <v>411.37</v>
      </c>
      <c r="Q51">
        <f t="shared" si="17"/>
        <v>9.09</v>
      </c>
      <c r="R51">
        <f t="shared" si="18"/>
        <v>2.03</v>
      </c>
      <c r="S51">
        <f t="shared" si="19"/>
        <v>4506.93</v>
      </c>
      <c r="T51">
        <f t="shared" si="20"/>
        <v>0</v>
      </c>
      <c r="U51">
        <f t="shared" si="21"/>
        <v>25.812899999999996</v>
      </c>
      <c r="V51">
        <f t="shared" si="22"/>
        <v>0</v>
      </c>
      <c r="W51">
        <f t="shared" si="23"/>
        <v>0</v>
      </c>
      <c r="X51">
        <f t="shared" si="24"/>
        <v>3154.85</v>
      </c>
      <c r="Y51">
        <f t="shared" si="25"/>
        <v>450.69</v>
      </c>
      <c r="AA51">
        <v>26615678</v>
      </c>
      <c r="AB51">
        <f t="shared" si="26"/>
        <v>28318.36</v>
      </c>
      <c r="AC51">
        <f t="shared" si="27"/>
        <v>2364.22</v>
      </c>
      <c r="AD51">
        <f t="shared" si="28"/>
        <v>52.23</v>
      </c>
      <c r="AE51">
        <f t="shared" si="29"/>
        <v>11.65</v>
      </c>
      <c r="AF51">
        <f t="shared" si="30"/>
        <v>25901.91</v>
      </c>
      <c r="AG51">
        <f t="shared" si="31"/>
        <v>0</v>
      </c>
      <c r="AH51">
        <f t="shared" si="32"/>
        <v>148.35</v>
      </c>
      <c r="AI51">
        <f t="shared" si="33"/>
        <v>0</v>
      </c>
      <c r="AJ51">
        <f t="shared" si="34"/>
        <v>0</v>
      </c>
      <c r="AK51">
        <v>28318.36</v>
      </c>
      <c r="AL51">
        <v>2364.22</v>
      </c>
      <c r="AM51">
        <v>52.23</v>
      </c>
      <c r="AN51">
        <v>11.65</v>
      </c>
      <c r="AO51">
        <v>25901.91</v>
      </c>
      <c r="AP51">
        <v>0</v>
      </c>
      <c r="AQ51">
        <v>148.35</v>
      </c>
      <c r="AR51">
        <v>0</v>
      </c>
      <c r="AS51">
        <v>0</v>
      </c>
      <c r="AT51">
        <v>70</v>
      </c>
      <c r="AU51">
        <v>10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0</v>
      </c>
      <c r="BI51">
        <v>4</v>
      </c>
      <c r="BJ51" t="s">
        <v>115</v>
      </c>
      <c r="BM51">
        <v>0</v>
      </c>
      <c r="BN51">
        <v>0</v>
      </c>
      <c r="BP51">
        <v>0</v>
      </c>
      <c r="BQ51">
        <v>1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70</v>
      </c>
      <c r="CA51">
        <v>10</v>
      </c>
      <c r="CF51">
        <v>0</v>
      </c>
      <c r="CG51">
        <v>0</v>
      </c>
      <c r="CM51">
        <v>0</v>
      </c>
      <c r="CO51">
        <v>0</v>
      </c>
      <c r="CP51">
        <f t="shared" si="35"/>
        <v>4927.39</v>
      </c>
      <c r="CQ51">
        <f t="shared" si="36"/>
        <v>2364.22</v>
      </c>
      <c r="CR51">
        <f t="shared" si="37"/>
        <v>52.23</v>
      </c>
      <c r="CS51">
        <f t="shared" si="38"/>
        <v>11.65</v>
      </c>
      <c r="CT51">
        <f t="shared" si="39"/>
        <v>25901.91</v>
      </c>
      <c r="CU51">
        <f t="shared" si="40"/>
        <v>0</v>
      </c>
      <c r="CV51">
        <f t="shared" si="41"/>
        <v>148.35</v>
      </c>
      <c r="CW51">
        <f t="shared" si="42"/>
        <v>0</v>
      </c>
      <c r="CX51">
        <f t="shared" si="43"/>
        <v>0</v>
      </c>
      <c r="CY51">
        <f t="shared" si="44"/>
        <v>3154.8510000000006</v>
      </c>
      <c r="CZ51">
        <f t="shared" si="45"/>
        <v>450.69300000000004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76</v>
      </c>
      <c r="DW51" t="s">
        <v>76</v>
      </c>
      <c r="DX51">
        <v>1</v>
      </c>
      <c r="EE51">
        <v>25674155</v>
      </c>
      <c r="EF51">
        <v>1</v>
      </c>
      <c r="EG51" t="s">
        <v>19</v>
      </c>
      <c r="EH51">
        <v>0</v>
      </c>
      <c r="EJ51">
        <v>4</v>
      </c>
      <c r="EK51">
        <v>0</v>
      </c>
      <c r="EL51" t="s">
        <v>20</v>
      </c>
      <c r="EM51" t="s">
        <v>21</v>
      </c>
      <c r="EQ51">
        <v>0</v>
      </c>
      <c r="ER51">
        <v>28318.36</v>
      </c>
      <c r="ES51">
        <v>2364.22</v>
      </c>
      <c r="ET51">
        <v>52.23</v>
      </c>
      <c r="EU51">
        <v>11.65</v>
      </c>
      <c r="EV51">
        <v>25901.91</v>
      </c>
      <c r="EW51">
        <v>148.35</v>
      </c>
      <c r="EX51">
        <v>0</v>
      </c>
      <c r="EY51">
        <v>0</v>
      </c>
      <c r="FQ51">
        <v>0</v>
      </c>
      <c r="FR51">
        <f t="shared" si="46"/>
        <v>0</v>
      </c>
      <c r="FS51">
        <v>0</v>
      </c>
      <c r="FX51">
        <v>70</v>
      </c>
      <c r="FY51">
        <v>10</v>
      </c>
      <c r="GD51">
        <v>0</v>
      </c>
      <c r="GF51">
        <v>753334769</v>
      </c>
      <c r="GG51">
        <v>2</v>
      </c>
      <c r="GH51">
        <v>1</v>
      </c>
      <c r="GI51">
        <v>-2</v>
      </c>
      <c r="GJ51">
        <v>0</v>
      </c>
      <c r="GK51">
        <f>ROUND(R51*(R12)/100,2)</f>
        <v>2.19</v>
      </c>
      <c r="GL51">
        <f t="shared" si="47"/>
        <v>0</v>
      </c>
      <c r="GM51">
        <f t="shared" si="48"/>
        <v>8535.12</v>
      </c>
      <c r="GN51">
        <f t="shared" si="49"/>
        <v>0</v>
      </c>
      <c r="GO51">
        <f t="shared" si="50"/>
        <v>0</v>
      </c>
      <c r="GP51">
        <f t="shared" si="51"/>
        <v>8535.12</v>
      </c>
      <c r="GR51">
        <v>0</v>
      </c>
    </row>
    <row r="52" spans="1:200" ht="12.75">
      <c r="A52">
        <v>18</v>
      </c>
      <c r="B52">
        <v>1</v>
      </c>
      <c r="C52">
        <v>63</v>
      </c>
      <c r="E52" t="s">
        <v>116</v>
      </c>
      <c r="F52" t="s">
        <v>117</v>
      </c>
      <c r="G52" t="s">
        <v>118</v>
      </c>
      <c r="H52" t="s">
        <v>17</v>
      </c>
      <c r="I52">
        <f>I51*J52</f>
        <v>2</v>
      </c>
      <c r="J52">
        <v>11.49425287356322</v>
      </c>
      <c r="O52">
        <f t="shared" si="15"/>
        <v>6847.4</v>
      </c>
      <c r="P52">
        <f t="shared" si="16"/>
        <v>6847.4</v>
      </c>
      <c r="Q52">
        <f t="shared" si="17"/>
        <v>0</v>
      </c>
      <c r="R52">
        <f t="shared" si="18"/>
        <v>0</v>
      </c>
      <c r="S52">
        <f t="shared" si="19"/>
        <v>0</v>
      </c>
      <c r="T52">
        <f t="shared" si="20"/>
        <v>0</v>
      </c>
      <c r="U52">
        <f t="shared" si="21"/>
        <v>0</v>
      </c>
      <c r="V52">
        <f t="shared" si="22"/>
        <v>0</v>
      </c>
      <c r="W52">
        <f t="shared" si="23"/>
        <v>0</v>
      </c>
      <c r="X52">
        <f t="shared" si="24"/>
        <v>0</v>
      </c>
      <c r="Y52">
        <f t="shared" si="25"/>
        <v>0</v>
      </c>
      <c r="AA52">
        <v>26615678</v>
      </c>
      <c r="AB52">
        <f t="shared" si="26"/>
        <v>3423.7</v>
      </c>
      <c r="AC52">
        <f t="shared" si="27"/>
        <v>3423.7</v>
      </c>
      <c r="AD52">
        <f t="shared" si="28"/>
        <v>0</v>
      </c>
      <c r="AE52">
        <f t="shared" si="29"/>
        <v>0</v>
      </c>
      <c r="AF52">
        <f t="shared" si="30"/>
        <v>0</v>
      </c>
      <c r="AG52">
        <f t="shared" si="31"/>
        <v>0</v>
      </c>
      <c r="AH52">
        <f t="shared" si="32"/>
        <v>0</v>
      </c>
      <c r="AI52">
        <f t="shared" si="33"/>
        <v>0</v>
      </c>
      <c r="AJ52">
        <f t="shared" si="34"/>
        <v>0</v>
      </c>
      <c r="AK52">
        <v>3423.7</v>
      </c>
      <c r="AL52">
        <v>3423.7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70</v>
      </c>
      <c r="AU52">
        <v>10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H52">
        <v>3</v>
      </c>
      <c r="BI52">
        <v>4</v>
      </c>
      <c r="BJ52" t="s">
        <v>119</v>
      </c>
      <c r="BM52">
        <v>0</v>
      </c>
      <c r="BN52">
        <v>0</v>
      </c>
      <c r="BP52">
        <v>0</v>
      </c>
      <c r="BQ52">
        <v>1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70</v>
      </c>
      <c r="CA52">
        <v>10</v>
      </c>
      <c r="CF52">
        <v>0</v>
      </c>
      <c r="CG52">
        <v>0</v>
      </c>
      <c r="CM52">
        <v>0</v>
      </c>
      <c r="CO52">
        <v>0</v>
      </c>
      <c r="CP52">
        <f t="shared" si="35"/>
        <v>6847.4</v>
      </c>
      <c r="CQ52">
        <f t="shared" si="36"/>
        <v>3423.7</v>
      </c>
      <c r="CR52">
        <f t="shared" si="37"/>
        <v>0</v>
      </c>
      <c r="CS52">
        <f t="shared" si="38"/>
        <v>0</v>
      </c>
      <c r="CT52">
        <f t="shared" si="39"/>
        <v>0</v>
      </c>
      <c r="CU52">
        <f t="shared" si="40"/>
        <v>0</v>
      </c>
      <c r="CV52">
        <f t="shared" si="41"/>
        <v>0</v>
      </c>
      <c r="CW52">
        <f t="shared" si="42"/>
        <v>0</v>
      </c>
      <c r="CX52">
        <f t="shared" si="43"/>
        <v>0</v>
      </c>
      <c r="CY52">
        <f t="shared" si="44"/>
        <v>0</v>
      </c>
      <c r="CZ52">
        <f t="shared" si="45"/>
        <v>0</v>
      </c>
      <c r="DN52">
        <v>0</v>
      </c>
      <c r="DO52">
        <v>0</v>
      </c>
      <c r="DP52">
        <v>1</v>
      </c>
      <c r="DQ52">
        <v>1</v>
      </c>
      <c r="DU52">
        <v>1013</v>
      </c>
      <c r="DV52" t="s">
        <v>17</v>
      </c>
      <c r="DW52" t="s">
        <v>17</v>
      </c>
      <c r="DX52">
        <v>1</v>
      </c>
      <c r="EE52">
        <v>25674155</v>
      </c>
      <c r="EF52">
        <v>1</v>
      </c>
      <c r="EG52" t="s">
        <v>19</v>
      </c>
      <c r="EH52">
        <v>0</v>
      </c>
      <c r="EJ52">
        <v>4</v>
      </c>
      <c r="EK52">
        <v>0</v>
      </c>
      <c r="EL52" t="s">
        <v>20</v>
      </c>
      <c r="EM52" t="s">
        <v>21</v>
      </c>
      <c r="EQ52">
        <v>0</v>
      </c>
      <c r="ER52">
        <v>3423.7</v>
      </c>
      <c r="ES52">
        <v>3423.7</v>
      </c>
      <c r="ET52">
        <v>0</v>
      </c>
      <c r="EU52">
        <v>0</v>
      </c>
      <c r="EV52">
        <v>0</v>
      </c>
      <c r="EW52">
        <v>0</v>
      </c>
      <c r="EX52">
        <v>0</v>
      </c>
      <c r="FQ52">
        <v>0</v>
      </c>
      <c r="FR52">
        <f t="shared" si="46"/>
        <v>0</v>
      </c>
      <c r="FS52">
        <v>0</v>
      </c>
      <c r="FX52">
        <v>70</v>
      </c>
      <c r="FY52">
        <v>10</v>
      </c>
      <c r="GD52">
        <v>0</v>
      </c>
      <c r="GF52">
        <v>1556107571</v>
      </c>
      <c r="GG52">
        <v>2</v>
      </c>
      <c r="GH52">
        <v>1</v>
      </c>
      <c r="GI52">
        <v>-2</v>
      </c>
      <c r="GJ52">
        <v>0</v>
      </c>
      <c r="GK52">
        <f>ROUND(R52*(R12)/100,2)</f>
        <v>0</v>
      </c>
      <c r="GL52">
        <f t="shared" si="47"/>
        <v>0</v>
      </c>
      <c r="GM52">
        <f t="shared" si="48"/>
        <v>6847.4</v>
      </c>
      <c r="GN52">
        <f t="shared" si="49"/>
        <v>0</v>
      </c>
      <c r="GO52">
        <f t="shared" si="50"/>
        <v>0</v>
      </c>
      <c r="GP52">
        <f t="shared" si="51"/>
        <v>6847.4</v>
      </c>
      <c r="GR52">
        <v>0</v>
      </c>
    </row>
    <row r="53" spans="1:200" ht="12.75">
      <c r="A53">
        <v>18</v>
      </c>
      <c r="B53">
        <v>1</v>
      </c>
      <c r="C53">
        <v>64</v>
      </c>
      <c r="E53" t="s">
        <v>120</v>
      </c>
      <c r="F53" t="s">
        <v>108</v>
      </c>
      <c r="G53" t="s">
        <v>109</v>
      </c>
      <c r="H53" t="s">
        <v>85</v>
      </c>
      <c r="I53">
        <f>I51*J53</f>
        <v>17.4</v>
      </c>
      <c r="J53">
        <v>100</v>
      </c>
      <c r="O53">
        <f t="shared" si="15"/>
        <v>13719.38</v>
      </c>
      <c r="P53">
        <f t="shared" si="16"/>
        <v>13719.38</v>
      </c>
      <c r="Q53">
        <f t="shared" si="17"/>
        <v>0</v>
      </c>
      <c r="R53">
        <f t="shared" si="18"/>
        <v>0</v>
      </c>
      <c r="S53">
        <f t="shared" si="19"/>
        <v>0</v>
      </c>
      <c r="T53">
        <f t="shared" si="20"/>
        <v>0</v>
      </c>
      <c r="U53">
        <f t="shared" si="21"/>
        <v>0</v>
      </c>
      <c r="V53">
        <f t="shared" si="22"/>
        <v>0</v>
      </c>
      <c r="W53">
        <f t="shared" si="23"/>
        <v>0</v>
      </c>
      <c r="X53">
        <f t="shared" si="24"/>
        <v>0</v>
      </c>
      <c r="Y53">
        <f t="shared" si="25"/>
        <v>0</v>
      </c>
      <c r="AA53">
        <v>26615678</v>
      </c>
      <c r="AB53">
        <f t="shared" si="26"/>
        <v>788.47</v>
      </c>
      <c r="AC53">
        <f t="shared" si="27"/>
        <v>788.47</v>
      </c>
      <c r="AD53">
        <f t="shared" si="28"/>
        <v>0</v>
      </c>
      <c r="AE53">
        <f t="shared" si="29"/>
        <v>0</v>
      </c>
      <c r="AF53">
        <f t="shared" si="30"/>
        <v>0</v>
      </c>
      <c r="AG53">
        <f t="shared" si="31"/>
        <v>0</v>
      </c>
      <c r="AH53">
        <f t="shared" si="32"/>
        <v>0</v>
      </c>
      <c r="AI53">
        <f t="shared" si="33"/>
        <v>0</v>
      </c>
      <c r="AJ53">
        <f t="shared" si="34"/>
        <v>0</v>
      </c>
      <c r="AK53">
        <v>788.47</v>
      </c>
      <c r="AL53">
        <v>788.47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70</v>
      </c>
      <c r="AU53">
        <v>10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1</v>
      </c>
      <c r="BH53">
        <v>3</v>
      </c>
      <c r="BI53">
        <v>4</v>
      </c>
      <c r="BJ53" t="s">
        <v>110</v>
      </c>
      <c r="BM53">
        <v>0</v>
      </c>
      <c r="BN53">
        <v>0</v>
      </c>
      <c r="BP53">
        <v>0</v>
      </c>
      <c r="BQ53">
        <v>1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70</v>
      </c>
      <c r="CA53">
        <v>10</v>
      </c>
      <c r="CF53">
        <v>0</v>
      </c>
      <c r="CG53">
        <v>0</v>
      </c>
      <c r="CM53">
        <v>0</v>
      </c>
      <c r="CO53">
        <v>0</v>
      </c>
      <c r="CP53">
        <f t="shared" si="35"/>
        <v>13719.38</v>
      </c>
      <c r="CQ53">
        <f t="shared" si="36"/>
        <v>788.47</v>
      </c>
      <c r="CR53">
        <f t="shared" si="37"/>
        <v>0</v>
      </c>
      <c r="CS53">
        <f t="shared" si="38"/>
        <v>0</v>
      </c>
      <c r="CT53">
        <f t="shared" si="39"/>
        <v>0</v>
      </c>
      <c r="CU53">
        <f t="shared" si="40"/>
        <v>0</v>
      </c>
      <c r="CV53">
        <f t="shared" si="41"/>
        <v>0</v>
      </c>
      <c r="CW53">
        <f t="shared" si="42"/>
        <v>0</v>
      </c>
      <c r="CX53">
        <f t="shared" si="43"/>
        <v>0</v>
      </c>
      <c r="CY53">
        <f t="shared" si="44"/>
        <v>0</v>
      </c>
      <c r="CZ53">
        <f t="shared" si="45"/>
        <v>0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85</v>
      </c>
      <c r="DW53" t="s">
        <v>85</v>
      </c>
      <c r="DX53">
        <v>1</v>
      </c>
      <c r="EE53">
        <v>25674155</v>
      </c>
      <c r="EF53">
        <v>1</v>
      </c>
      <c r="EG53" t="s">
        <v>19</v>
      </c>
      <c r="EH53">
        <v>0</v>
      </c>
      <c r="EJ53">
        <v>4</v>
      </c>
      <c r="EK53">
        <v>0</v>
      </c>
      <c r="EL53" t="s">
        <v>20</v>
      </c>
      <c r="EM53" t="s">
        <v>21</v>
      </c>
      <c r="EQ53">
        <v>0</v>
      </c>
      <c r="ER53">
        <v>788.47</v>
      </c>
      <c r="ES53">
        <v>788.47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6"/>
        <v>0</v>
      </c>
      <c r="FS53">
        <v>0</v>
      </c>
      <c r="FX53">
        <v>70</v>
      </c>
      <c r="FY53">
        <v>10</v>
      </c>
      <c r="GD53">
        <v>0</v>
      </c>
      <c r="GF53">
        <v>1654362007</v>
      </c>
      <c r="GG53">
        <v>2</v>
      </c>
      <c r="GH53">
        <v>1</v>
      </c>
      <c r="GI53">
        <v>-2</v>
      </c>
      <c r="GJ53">
        <v>0</v>
      </c>
      <c r="GK53">
        <f>ROUND(R53*(R12)/100,2)</f>
        <v>0</v>
      </c>
      <c r="GL53">
        <f t="shared" si="47"/>
        <v>0</v>
      </c>
      <c r="GM53">
        <f t="shared" si="48"/>
        <v>13719.38</v>
      </c>
      <c r="GN53">
        <f t="shared" si="49"/>
        <v>0</v>
      </c>
      <c r="GO53">
        <f t="shared" si="50"/>
        <v>0</v>
      </c>
      <c r="GP53">
        <f t="shared" si="51"/>
        <v>13719.38</v>
      </c>
      <c r="GR53">
        <v>0</v>
      </c>
    </row>
    <row r="54" spans="1:200" ht="12.75">
      <c r="A54">
        <v>18</v>
      </c>
      <c r="B54">
        <v>1</v>
      </c>
      <c r="C54">
        <v>65</v>
      </c>
      <c r="E54" t="s">
        <v>121</v>
      </c>
      <c r="F54" t="s">
        <v>88</v>
      </c>
      <c r="G54" t="s">
        <v>89</v>
      </c>
      <c r="H54" t="s">
        <v>25</v>
      </c>
      <c r="I54">
        <f>I51*J54</f>
        <v>1</v>
      </c>
      <c r="J54">
        <v>5.74712643678161</v>
      </c>
      <c r="O54">
        <f t="shared" si="15"/>
        <v>316.95</v>
      </c>
      <c r="P54">
        <f t="shared" si="16"/>
        <v>316.95</v>
      </c>
      <c r="Q54">
        <f t="shared" si="17"/>
        <v>0</v>
      </c>
      <c r="R54">
        <f t="shared" si="18"/>
        <v>0</v>
      </c>
      <c r="S54">
        <f t="shared" si="19"/>
        <v>0</v>
      </c>
      <c r="T54">
        <f t="shared" si="20"/>
        <v>0</v>
      </c>
      <c r="U54">
        <f t="shared" si="21"/>
        <v>0</v>
      </c>
      <c r="V54">
        <f t="shared" si="22"/>
        <v>0</v>
      </c>
      <c r="W54">
        <f t="shared" si="23"/>
        <v>0</v>
      </c>
      <c r="X54">
        <f t="shared" si="24"/>
        <v>0</v>
      </c>
      <c r="Y54">
        <f t="shared" si="25"/>
        <v>0</v>
      </c>
      <c r="AA54">
        <v>26615678</v>
      </c>
      <c r="AB54">
        <f t="shared" si="26"/>
        <v>316.95</v>
      </c>
      <c r="AC54">
        <f t="shared" si="27"/>
        <v>316.95</v>
      </c>
      <c r="AD54">
        <f t="shared" si="28"/>
        <v>0</v>
      </c>
      <c r="AE54">
        <f t="shared" si="29"/>
        <v>0</v>
      </c>
      <c r="AF54">
        <f t="shared" si="30"/>
        <v>0</v>
      </c>
      <c r="AG54">
        <f t="shared" si="31"/>
        <v>0</v>
      </c>
      <c r="AH54">
        <f t="shared" si="32"/>
        <v>0</v>
      </c>
      <c r="AI54">
        <f t="shared" si="33"/>
        <v>0</v>
      </c>
      <c r="AJ54">
        <f t="shared" si="34"/>
        <v>0</v>
      </c>
      <c r="AK54">
        <v>316.95</v>
      </c>
      <c r="AL54">
        <v>316.95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70</v>
      </c>
      <c r="AU54">
        <v>10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H54">
        <v>3</v>
      </c>
      <c r="BI54">
        <v>4</v>
      </c>
      <c r="BM54">
        <v>0</v>
      </c>
      <c r="BN54">
        <v>0</v>
      </c>
      <c r="BP54">
        <v>0</v>
      </c>
      <c r="BQ54">
        <v>1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70</v>
      </c>
      <c r="CA54">
        <v>10</v>
      </c>
      <c r="CF54">
        <v>0</v>
      </c>
      <c r="CG54">
        <v>0</v>
      </c>
      <c r="CM54">
        <v>0</v>
      </c>
      <c r="CO54">
        <v>0</v>
      </c>
      <c r="CP54">
        <f t="shared" si="35"/>
        <v>316.95</v>
      </c>
      <c r="CQ54">
        <f t="shared" si="36"/>
        <v>316.95</v>
      </c>
      <c r="CR54">
        <f t="shared" si="37"/>
        <v>0</v>
      </c>
      <c r="CS54">
        <f t="shared" si="38"/>
        <v>0</v>
      </c>
      <c r="CT54">
        <f t="shared" si="39"/>
        <v>0</v>
      </c>
      <c r="CU54">
        <f t="shared" si="40"/>
        <v>0</v>
      </c>
      <c r="CV54">
        <f t="shared" si="41"/>
        <v>0</v>
      </c>
      <c r="CW54">
        <f t="shared" si="42"/>
        <v>0</v>
      </c>
      <c r="CX54">
        <f t="shared" si="43"/>
        <v>0</v>
      </c>
      <c r="CY54">
        <f t="shared" si="44"/>
        <v>0</v>
      </c>
      <c r="CZ54">
        <f t="shared" si="45"/>
        <v>0</v>
      </c>
      <c r="DN54">
        <v>0</v>
      </c>
      <c r="DO54">
        <v>0</v>
      </c>
      <c r="DP54">
        <v>1</v>
      </c>
      <c r="DQ54">
        <v>1</v>
      </c>
      <c r="DU54">
        <v>1013</v>
      </c>
      <c r="DV54" t="s">
        <v>25</v>
      </c>
      <c r="DW54" t="s">
        <v>25</v>
      </c>
      <c r="DX54">
        <v>1</v>
      </c>
      <c r="EE54">
        <v>25674155</v>
      </c>
      <c r="EF54">
        <v>1</v>
      </c>
      <c r="EG54" t="s">
        <v>19</v>
      </c>
      <c r="EH54">
        <v>0</v>
      </c>
      <c r="EJ54">
        <v>4</v>
      </c>
      <c r="EK54">
        <v>0</v>
      </c>
      <c r="EL54" t="s">
        <v>20</v>
      </c>
      <c r="EM54" t="s">
        <v>21</v>
      </c>
      <c r="EQ54">
        <v>0</v>
      </c>
      <c r="ER54">
        <v>0</v>
      </c>
      <c r="ES54">
        <v>316.95</v>
      </c>
      <c r="ET54">
        <v>0</v>
      </c>
      <c r="EU54">
        <v>0</v>
      </c>
      <c r="EV54">
        <v>0</v>
      </c>
      <c r="EW54">
        <v>0</v>
      </c>
      <c r="EX54">
        <v>0</v>
      </c>
      <c r="EZ54">
        <v>5</v>
      </c>
      <c r="FC54">
        <v>1</v>
      </c>
      <c r="FD54">
        <v>18</v>
      </c>
      <c r="FF54">
        <v>374</v>
      </c>
      <c r="FQ54">
        <v>0</v>
      </c>
      <c r="FR54">
        <f t="shared" si="46"/>
        <v>0</v>
      </c>
      <c r="FS54">
        <v>0</v>
      </c>
      <c r="FX54">
        <v>70</v>
      </c>
      <c r="FY54">
        <v>10</v>
      </c>
      <c r="GA54" t="s">
        <v>90</v>
      </c>
      <c r="GD54">
        <v>0</v>
      </c>
      <c r="GF54">
        <v>-2029574086</v>
      </c>
      <c r="GG54">
        <v>2</v>
      </c>
      <c r="GH54">
        <v>3</v>
      </c>
      <c r="GI54">
        <v>-2</v>
      </c>
      <c r="GJ54">
        <v>0</v>
      </c>
      <c r="GK54">
        <f>ROUND(R54*(R12)/100,2)</f>
        <v>0</v>
      </c>
      <c r="GL54">
        <f t="shared" si="47"/>
        <v>0</v>
      </c>
      <c r="GM54">
        <f t="shared" si="48"/>
        <v>316.95</v>
      </c>
      <c r="GN54">
        <f t="shared" si="49"/>
        <v>0</v>
      </c>
      <c r="GO54">
        <f t="shared" si="50"/>
        <v>0</v>
      </c>
      <c r="GP54">
        <f t="shared" si="51"/>
        <v>316.95</v>
      </c>
      <c r="GR54">
        <v>0</v>
      </c>
    </row>
    <row r="55" spans="1:200" ht="12.75">
      <c r="A55">
        <v>17</v>
      </c>
      <c r="B55">
        <v>1</v>
      </c>
      <c r="C55">
        <f>ROW(SmtRes!A76)</f>
        <v>76</v>
      </c>
      <c r="D55">
        <f>ROW(EtalonRes!A81)</f>
        <v>81</v>
      </c>
      <c r="E55" t="s">
        <v>122</v>
      </c>
      <c r="F55" t="s">
        <v>123</v>
      </c>
      <c r="G55" t="s">
        <v>124</v>
      </c>
      <c r="H55" t="s">
        <v>76</v>
      </c>
      <c r="I55">
        <v>0.48</v>
      </c>
      <c r="J55">
        <v>0</v>
      </c>
      <c r="O55">
        <f t="shared" si="15"/>
        <v>11761.61</v>
      </c>
      <c r="P55">
        <f t="shared" si="16"/>
        <v>1134.83</v>
      </c>
      <c r="Q55">
        <f t="shared" si="17"/>
        <v>25.07</v>
      </c>
      <c r="R55">
        <f t="shared" si="18"/>
        <v>5.59</v>
      </c>
      <c r="S55">
        <f t="shared" si="19"/>
        <v>10601.71</v>
      </c>
      <c r="T55">
        <f t="shared" si="20"/>
        <v>0</v>
      </c>
      <c r="U55">
        <f t="shared" si="21"/>
        <v>60.72</v>
      </c>
      <c r="V55">
        <f t="shared" si="22"/>
        <v>0</v>
      </c>
      <c r="W55">
        <f t="shared" si="23"/>
        <v>0</v>
      </c>
      <c r="X55">
        <f t="shared" si="24"/>
        <v>7421.2</v>
      </c>
      <c r="Y55">
        <f t="shared" si="25"/>
        <v>1060.17</v>
      </c>
      <c r="AA55">
        <v>26615678</v>
      </c>
      <c r="AB55">
        <f t="shared" si="26"/>
        <v>24503.35</v>
      </c>
      <c r="AC55">
        <f t="shared" si="27"/>
        <v>2364.22</v>
      </c>
      <c r="AD55">
        <f t="shared" si="28"/>
        <v>52.23</v>
      </c>
      <c r="AE55">
        <f t="shared" si="29"/>
        <v>11.65</v>
      </c>
      <c r="AF55">
        <f t="shared" si="30"/>
        <v>22086.9</v>
      </c>
      <c r="AG55">
        <f t="shared" si="31"/>
        <v>0</v>
      </c>
      <c r="AH55">
        <f t="shared" si="32"/>
        <v>126.5</v>
      </c>
      <c r="AI55">
        <f t="shared" si="33"/>
        <v>0</v>
      </c>
      <c r="AJ55">
        <f t="shared" si="34"/>
        <v>0</v>
      </c>
      <c r="AK55">
        <v>24503.35</v>
      </c>
      <c r="AL55">
        <v>2364.22</v>
      </c>
      <c r="AM55">
        <v>52.23</v>
      </c>
      <c r="AN55">
        <v>11.65</v>
      </c>
      <c r="AO55">
        <v>22086.9</v>
      </c>
      <c r="AP55">
        <v>0</v>
      </c>
      <c r="AQ55">
        <v>126.5</v>
      </c>
      <c r="AR55">
        <v>0</v>
      </c>
      <c r="AS55">
        <v>0</v>
      </c>
      <c r="AT55">
        <v>70</v>
      </c>
      <c r="AU55">
        <v>10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1</v>
      </c>
      <c r="BH55">
        <v>0</v>
      </c>
      <c r="BI55">
        <v>4</v>
      </c>
      <c r="BJ55" t="s">
        <v>125</v>
      </c>
      <c r="BM55">
        <v>0</v>
      </c>
      <c r="BN55">
        <v>0</v>
      </c>
      <c r="BP55">
        <v>0</v>
      </c>
      <c r="BQ55">
        <v>1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70</v>
      </c>
      <c r="CA55">
        <v>10</v>
      </c>
      <c r="CF55">
        <v>0</v>
      </c>
      <c r="CG55">
        <v>0</v>
      </c>
      <c r="CM55">
        <v>0</v>
      </c>
      <c r="CO55">
        <v>0</v>
      </c>
      <c r="CP55">
        <f t="shared" si="35"/>
        <v>11761.609999999999</v>
      </c>
      <c r="CQ55">
        <f t="shared" si="36"/>
        <v>2364.22</v>
      </c>
      <c r="CR55">
        <f t="shared" si="37"/>
        <v>52.23</v>
      </c>
      <c r="CS55">
        <f t="shared" si="38"/>
        <v>11.65</v>
      </c>
      <c r="CT55">
        <f t="shared" si="39"/>
        <v>22086.9</v>
      </c>
      <c r="CU55">
        <f t="shared" si="40"/>
        <v>0</v>
      </c>
      <c r="CV55">
        <f t="shared" si="41"/>
        <v>126.5</v>
      </c>
      <c r="CW55">
        <f t="shared" si="42"/>
        <v>0</v>
      </c>
      <c r="CX55">
        <f t="shared" si="43"/>
        <v>0</v>
      </c>
      <c r="CY55">
        <f t="shared" si="44"/>
        <v>7421.196999999999</v>
      </c>
      <c r="CZ55">
        <f t="shared" si="45"/>
        <v>1060.1709999999998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76</v>
      </c>
      <c r="DW55" t="s">
        <v>76</v>
      </c>
      <c r="DX55">
        <v>1</v>
      </c>
      <c r="EE55">
        <v>25674155</v>
      </c>
      <c r="EF55">
        <v>1</v>
      </c>
      <c r="EG55" t="s">
        <v>19</v>
      </c>
      <c r="EH55">
        <v>0</v>
      </c>
      <c r="EJ55">
        <v>4</v>
      </c>
      <c r="EK55">
        <v>0</v>
      </c>
      <c r="EL55" t="s">
        <v>20</v>
      </c>
      <c r="EM55" t="s">
        <v>21</v>
      </c>
      <c r="EQ55">
        <v>0</v>
      </c>
      <c r="ER55">
        <v>24503.35</v>
      </c>
      <c r="ES55">
        <v>2364.22</v>
      </c>
      <c r="ET55">
        <v>52.23</v>
      </c>
      <c r="EU55">
        <v>11.65</v>
      </c>
      <c r="EV55">
        <v>22086.9</v>
      </c>
      <c r="EW55">
        <v>126.5</v>
      </c>
      <c r="EX55">
        <v>0</v>
      </c>
      <c r="EY55">
        <v>0</v>
      </c>
      <c r="FQ55">
        <v>0</v>
      </c>
      <c r="FR55">
        <f t="shared" si="46"/>
        <v>0</v>
      </c>
      <c r="FS55">
        <v>0</v>
      </c>
      <c r="FX55">
        <v>70</v>
      </c>
      <c r="FY55">
        <v>10</v>
      </c>
      <c r="GD55">
        <v>0</v>
      </c>
      <c r="GF55">
        <v>1540484961</v>
      </c>
      <c r="GG55">
        <v>2</v>
      </c>
      <c r="GH55">
        <v>1</v>
      </c>
      <c r="GI55">
        <v>-2</v>
      </c>
      <c r="GJ55">
        <v>0</v>
      </c>
      <c r="GK55">
        <f>ROUND(R55*(R12)/100,2)</f>
        <v>6.04</v>
      </c>
      <c r="GL55">
        <f t="shared" si="47"/>
        <v>0</v>
      </c>
      <c r="GM55">
        <f t="shared" si="48"/>
        <v>20249.020000000004</v>
      </c>
      <c r="GN55">
        <f t="shared" si="49"/>
        <v>0</v>
      </c>
      <c r="GO55">
        <f t="shared" si="50"/>
        <v>0</v>
      </c>
      <c r="GP55">
        <f t="shared" si="51"/>
        <v>20249.02</v>
      </c>
      <c r="GR55">
        <v>0</v>
      </c>
    </row>
    <row r="56" spans="1:200" ht="12.75">
      <c r="A56">
        <v>18</v>
      </c>
      <c r="B56">
        <v>1</v>
      </c>
      <c r="C56">
        <v>74</v>
      </c>
      <c r="E56" t="s">
        <v>126</v>
      </c>
      <c r="F56" t="s">
        <v>117</v>
      </c>
      <c r="G56" t="s">
        <v>118</v>
      </c>
      <c r="H56" t="s">
        <v>17</v>
      </c>
      <c r="I56">
        <f>I55*J56</f>
        <v>1</v>
      </c>
      <c r="J56">
        <v>2.0833333333333335</v>
      </c>
      <c r="O56">
        <f t="shared" si="15"/>
        <v>3423.7</v>
      </c>
      <c r="P56">
        <f t="shared" si="16"/>
        <v>3423.7</v>
      </c>
      <c r="Q56">
        <f t="shared" si="17"/>
        <v>0</v>
      </c>
      <c r="R56">
        <f t="shared" si="18"/>
        <v>0</v>
      </c>
      <c r="S56">
        <f t="shared" si="19"/>
        <v>0</v>
      </c>
      <c r="T56">
        <f t="shared" si="20"/>
        <v>0</v>
      </c>
      <c r="U56">
        <f t="shared" si="21"/>
        <v>0</v>
      </c>
      <c r="V56">
        <f t="shared" si="22"/>
        <v>0</v>
      </c>
      <c r="W56">
        <f t="shared" si="23"/>
        <v>0</v>
      </c>
      <c r="X56">
        <f t="shared" si="24"/>
        <v>0</v>
      </c>
      <c r="Y56">
        <f t="shared" si="25"/>
        <v>0</v>
      </c>
      <c r="AA56">
        <v>26615678</v>
      </c>
      <c r="AB56">
        <f t="shared" si="26"/>
        <v>3423.7</v>
      </c>
      <c r="AC56">
        <f t="shared" si="27"/>
        <v>3423.7</v>
      </c>
      <c r="AD56">
        <f t="shared" si="28"/>
        <v>0</v>
      </c>
      <c r="AE56">
        <f t="shared" si="29"/>
        <v>0</v>
      </c>
      <c r="AF56">
        <f t="shared" si="30"/>
        <v>0</v>
      </c>
      <c r="AG56">
        <f t="shared" si="31"/>
        <v>0</v>
      </c>
      <c r="AH56">
        <f t="shared" si="32"/>
        <v>0</v>
      </c>
      <c r="AI56">
        <f t="shared" si="33"/>
        <v>0</v>
      </c>
      <c r="AJ56">
        <f t="shared" si="34"/>
        <v>0</v>
      </c>
      <c r="AK56">
        <v>3423.7</v>
      </c>
      <c r="AL56">
        <v>3423.7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10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H56">
        <v>3</v>
      </c>
      <c r="BI56">
        <v>4</v>
      </c>
      <c r="BJ56" t="s">
        <v>119</v>
      </c>
      <c r="BM56">
        <v>0</v>
      </c>
      <c r="BN56">
        <v>0</v>
      </c>
      <c r="BP56">
        <v>0</v>
      </c>
      <c r="BQ56">
        <v>1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70</v>
      </c>
      <c r="CA56">
        <v>10</v>
      </c>
      <c r="CF56">
        <v>0</v>
      </c>
      <c r="CG56">
        <v>0</v>
      </c>
      <c r="CM56">
        <v>0</v>
      </c>
      <c r="CO56">
        <v>0</v>
      </c>
      <c r="CP56">
        <f t="shared" si="35"/>
        <v>3423.7</v>
      </c>
      <c r="CQ56">
        <f t="shared" si="36"/>
        <v>3423.7</v>
      </c>
      <c r="CR56">
        <f t="shared" si="37"/>
        <v>0</v>
      </c>
      <c r="CS56">
        <f t="shared" si="38"/>
        <v>0</v>
      </c>
      <c r="CT56">
        <f t="shared" si="39"/>
        <v>0</v>
      </c>
      <c r="CU56">
        <f t="shared" si="40"/>
        <v>0</v>
      </c>
      <c r="CV56">
        <f t="shared" si="41"/>
        <v>0</v>
      </c>
      <c r="CW56">
        <f t="shared" si="42"/>
        <v>0</v>
      </c>
      <c r="CX56">
        <f t="shared" si="43"/>
        <v>0</v>
      </c>
      <c r="CY56">
        <f t="shared" si="44"/>
        <v>0</v>
      </c>
      <c r="CZ56">
        <f t="shared" si="45"/>
        <v>0</v>
      </c>
      <c r="DN56">
        <v>0</v>
      </c>
      <c r="DO56">
        <v>0</v>
      </c>
      <c r="DP56">
        <v>1</v>
      </c>
      <c r="DQ56">
        <v>1</v>
      </c>
      <c r="DU56">
        <v>1013</v>
      </c>
      <c r="DV56" t="s">
        <v>17</v>
      </c>
      <c r="DW56" t="s">
        <v>17</v>
      </c>
      <c r="DX56">
        <v>1</v>
      </c>
      <c r="EE56">
        <v>25674155</v>
      </c>
      <c r="EF56">
        <v>1</v>
      </c>
      <c r="EG56" t="s">
        <v>19</v>
      </c>
      <c r="EH56">
        <v>0</v>
      </c>
      <c r="EJ56">
        <v>4</v>
      </c>
      <c r="EK56">
        <v>0</v>
      </c>
      <c r="EL56" t="s">
        <v>20</v>
      </c>
      <c r="EM56" t="s">
        <v>21</v>
      </c>
      <c r="EQ56">
        <v>0</v>
      </c>
      <c r="ER56">
        <v>3423.7</v>
      </c>
      <c r="ES56">
        <v>3423.7</v>
      </c>
      <c r="ET56">
        <v>0</v>
      </c>
      <c r="EU56">
        <v>0</v>
      </c>
      <c r="EV56">
        <v>0</v>
      </c>
      <c r="EW56">
        <v>0</v>
      </c>
      <c r="EX56">
        <v>0</v>
      </c>
      <c r="FQ56">
        <v>0</v>
      </c>
      <c r="FR56">
        <f t="shared" si="46"/>
        <v>0</v>
      </c>
      <c r="FS56">
        <v>0</v>
      </c>
      <c r="FX56">
        <v>70</v>
      </c>
      <c r="FY56">
        <v>10</v>
      </c>
      <c r="GD56">
        <v>0</v>
      </c>
      <c r="GF56">
        <v>1556107571</v>
      </c>
      <c r="GG56">
        <v>2</v>
      </c>
      <c r="GH56">
        <v>1</v>
      </c>
      <c r="GI56">
        <v>-2</v>
      </c>
      <c r="GJ56">
        <v>0</v>
      </c>
      <c r="GK56">
        <f>ROUND(R56*(R12)/100,2)</f>
        <v>0</v>
      </c>
      <c r="GL56">
        <f t="shared" si="47"/>
        <v>0</v>
      </c>
      <c r="GM56">
        <f t="shared" si="48"/>
        <v>3423.7</v>
      </c>
      <c r="GN56">
        <f t="shared" si="49"/>
        <v>0</v>
      </c>
      <c r="GO56">
        <f t="shared" si="50"/>
        <v>0</v>
      </c>
      <c r="GP56">
        <f t="shared" si="51"/>
        <v>3423.7</v>
      </c>
      <c r="GR56">
        <v>0</v>
      </c>
    </row>
    <row r="57" spans="1:200" ht="12.75">
      <c r="A57">
        <v>18</v>
      </c>
      <c r="B57">
        <v>1</v>
      </c>
      <c r="C57">
        <v>75</v>
      </c>
      <c r="E57" t="s">
        <v>127</v>
      </c>
      <c r="F57" t="s">
        <v>108</v>
      </c>
      <c r="G57" t="s">
        <v>109</v>
      </c>
      <c r="H57" t="s">
        <v>85</v>
      </c>
      <c r="I57">
        <f>I55*J57</f>
        <v>48</v>
      </c>
      <c r="J57">
        <v>100</v>
      </c>
      <c r="O57">
        <f t="shared" si="15"/>
        <v>37846.56</v>
      </c>
      <c r="P57">
        <f t="shared" si="16"/>
        <v>37846.56</v>
      </c>
      <c r="Q57">
        <f t="shared" si="17"/>
        <v>0</v>
      </c>
      <c r="R57">
        <f t="shared" si="18"/>
        <v>0</v>
      </c>
      <c r="S57">
        <f t="shared" si="19"/>
        <v>0</v>
      </c>
      <c r="T57">
        <f t="shared" si="20"/>
        <v>0</v>
      </c>
      <c r="U57">
        <f t="shared" si="21"/>
        <v>0</v>
      </c>
      <c r="V57">
        <f t="shared" si="22"/>
        <v>0</v>
      </c>
      <c r="W57">
        <f t="shared" si="23"/>
        <v>0</v>
      </c>
      <c r="X57">
        <f t="shared" si="24"/>
        <v>0</v>
      </c>
      <c r="Y57">
        <f t="shared" si="25"/>
        <v>0</v>
      </c>
      <c r="AA57">
        <v>26615678</v>
      </c>
      <c r="AB57">
        <f t="shared" si="26"/>
        <v>788.47</v>
      </c>
      <c r="AC57">
        <f t="shared" si="27"/>
        <v>788.47</v>
      </c>
      <c r="AD57">
        <f t="shared" si="28"/>
        <v>0</v>
      </c>
      <c r="AE57">
        <f t="shared" si="29"/>
        <v>0</v>
      </c>
      <c r="AF57">
        <f t="shared" si="30"/>
        <v>0</v>
      </c>
      <c r="AG57">
        <f t="shared" si="31"/>
        <v>0</v>
      </c>
      <c r="AH57">
        <f t="shared" si="32"/>
        <v>0</v>
      </c>
      <c r="AI57">
        <f t="shared" si="33"/>
        <v>0</v>
      </c>
      <c r="AJ57">
        <f t="shared" si="34"/>
        <v>0</v>
      </c>
      <c r="AK57">
        <v>788.47</v>
      </c>
      <c r="AL57">
        <v>788.47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70</v>
      </c>
      <c r="AU57">
        <v>10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1</v>
      </c>
      <c r="BH57">
        <v>3</v>
      </c>
      <c r="BI57">
        <v>4</v>
      </c>
      <c r="BJ57" t="s">
        <v>110</v>
      </c>
      <c r="BM57">
        <v>0</v>
      </c>
      <c r="BN57">
        <v>0</v>
      </c>
      <c r="BP57">
        <v>0</v>
      </c>
      <c r="BQ57">
        <v>1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70</v>
      </c>
      <c r="CA57">
        <v>10</v>
      </c>
      <c r="CF57">
        <v>0</v>
      </c>
      <c r="CG57">
        <v>0</v>
      </c>
      <c r="CM57">
        <v>0</v>
      </c>
      <c r="CO57">
        <v>0</v>
      </c>
      <c r="CP57">
        <f t="shared" si="35"/>
        <v>37846.56</v>
      </c>
      <c r="CQ57">
        <f t="shared" si="36"/>
        <v>788.47</v>
      </c>
      <c r="CR57">
        <f t="shared" si="37"/>
        <v>0</v>
      </c>
      <c r="CS57">
        <f t="shared" si="38"/>
        <v>0</v>
      </c>
      <c r="CT57">
        <f t="shared" si="39"/>
        <v>0</v>
      </c>
      <c r="CU57">
        <f t="shared" si="40"/>
        <v>0</v>
      </c>
      <c r="CV57">
        <f t="shared" si="41"/>
        <v>0</v>
      </c>
      <c r="CW57">
        <f t="shared" si="42"/>
        <v>0</v>
      </c>
      <c r="CX57">
        <f t="shared" si="43"/>
        <v>0</v>
      </c>
      <c r="CY57">
        <f t="shared" si="44"/>
        <v>0</v>
      </c>
      <c r="CZ57">
        <f t="shared" si="45"/>
        <v>0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85</v>
      </c>
      <c r="DW57" t="s">
        <v>85</v>
      </c>
      <c r="DX57">
        <v>1</v>
      </c>
      <c r="EE57">
        <v>25674155</v>
      </c>
      <c r="EF57">
        <v>1</v>
      </c>
      <c r="EG57" t="s">
        <v>19</v>
      </c>
      <c r="EH57">
        <v>0</v>
      </c>
      <c r="EJ57">
        <v>4</v>
      </c>
      <c r="EK57">
        <v>0</v>
      </c>
      <c r="EL57" t="s">
        <v>20</v>
      </c>
      <c r="EM57" t="s">
        <v>21</v>
      </c>
      <c r="EQ57">
        <v>0</v>
      </c>
      <c r="ER57">
        <v>788.47</v>
      </c>
      <c r="ES57">
        <v>788.47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46"/>
        <v>0</v>
      </c>
      <c r="FS57">
        <v>0</v>
      </c>
      <c r="FX57">
        <v>70</v>
      </c>
      <c r="FY57">
        <v>10</v>
      </c>
      <c r="GD57">
        <v>0</v>
      </c>
      <c r="GF57">
        <v>1654362007</v>
      </c>
      <c r="GG57">
        <v>2</v>
      </c>
      <c r="GH57">
        <v>1</v>
      </c>
      <c r="GI57">
        <v>-2</v>
      </c>
      <c r="GJ57">
        <v>0</v>
      </c>
      <c r="GK57">
        <f>ROUND(R57*(R12)/100,2)</f>
        <v>0</v>
      </c>
      <c r="GL57">
        <f t="shared" si="47"/>
        <v>0</v>
      </c>
      <c r="GM57">
        <f t="shared" si="48"/>
        <v>37846.56</v>
      </c>
      <c r="GN57">
        <f t="shared" si="49"/>
        <v>0</v>
      </c>
      <c r="GO57">
        <f t="shared" si="50"/>
        <v>0</v>
      </c>
      <c r="GP57">
        <f t="shared" si="51"/>
        <v>37846.56</v>
      </c>
      <c r="GR57">
        <v>0</v>
      </c>
    </row>
    <row r="58" spans="1:200" ht="12.75">
      <c r="A58">
        <v>18</v>
      </c>
      <c r="B58">
        <v>1</v>
      </c>
      <c r="C58">
        <v>76</v>
      </c>
      <c r="E58" t="s">
        <v>128</v>
      </c>
      <c r="F58" t="s">
        <v>88</v>
      </c>
      <c r="G58" t="s">
        <v>89</v>
      </c>
      <c r="H58" t="s">
        <v>25</v>
      </c>
      <c r="I58">
        <f>I55*J58</f>
        <v>2</v>
      </c>
      <c r="J58">
        <v>4.166666666666667</v>
      </c>
      <c r="O58">
        <f t="shared" si="15"/>
        <v>633.9</v>
      </c>
      <c r="P58">
        <f t="shared" si="16"/>
        <v>633.9</v>
      </c>
      <c r="Q58">
        <f t="shared" si="17"/>
        <v>0</v>
      </c>
      <c r="R58">
        <f t="shared" si="18"/>
        <v>0</v>
      </c>
      <c r="S58">
        <f t="shared" si="19"/>
        <v>0</v>
      </c>
      <c r="T58">
        <f t="shared" si="20"/>
        <v>0</v>
      </c>
      <c r="U58">
        <f t="shared" si="21"/>
        <v>0</v>
      </c>
      <c r="V58">
        <f t="shared" si="22"/>
        <v>0</v>
      </c>
      <c r="W58">
        <f t="shared" si="23"/>
        <v>0</v>
      </c>
      <c r="X58">
        <f t="shared" si="24"/>
        <v>0</v>
      </c>
      <c r="Y58">
        <f t="shared" si="25"/>
        <v>0</v>
      </c>
      <c r="AA58">
        <v>26615678</v>
      </c>
      <c r="AB58">
        <f t="shared" si="26"/>
        <v>316.95</v>
      </c>
      <c r="AC58">
        <f t="shared" si="27"/>
        <v>316.95</v>
      </c>
      <c r="AD58">
        <f t="shared" si="28"/>
        <v>0</v>
      </c>
      <c r="AE58">
        <f t="shared" si="29"/>
        <v>0</v>
      </c>
      <c r="AF58">
        <f t="shared" si="30"/>
        <v>0</v>
      </c>
      <c r="AG58">
        <f t="shared" si="31"/>
        <v>0</v>
      </c>
      <c r="AH58">
        <f t="shared" si="32"/>
        <v>0</v>
      </c>
      <c r="AI58">
        <f t="shared" si="33"/>
        <v>0</v>
      </c>
      <c r="AJ58">
        <f t="shared" si="34"/>
        <v>0</v>
      </c>
      <c r="AK58">
        <v>316.95</v>
      </c>
      <c r="AL58">
        <v>316.95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70</v>
      </c>
      <c r="AU58">
        <v>10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</v>
      </c>
      <c r="BH58">
        <v>3</v>
      </c>
      <c r="BI58">
        <v>4</v>
      </c>
      <c r="BM58">
        <v>0</v>
      </c>
      <c r="BN58">
        <v>0</v>
      </c>
      <c r="BP58">
        <v>0</v>
      </c>
      <c r="BQ58">
        <v>1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70</v>
      </c>
      <c r="CA58">
        <v>10</v>
      </c>
      <c r="CF58">
        <v>0</v>
      </c>
      <c r="CG58">
        <v>0</v>
      </c>
      <c r="CM58">
        <v>0</v>
      </c>
      <c r="CO58">
        <v>0</v>
      </c>
      <c r="CP58">
        <f t="shared" si="35"/>
        <v>633.9</v>
      </c>
      <c r="CQ58">
        <f t="shared" si="36"/>
        <v>316.95</v>
      </c>
      <c r="CR58">
        <f t="shared" si="37"/>
        <v>0</v>
      </c>
      <c r="CS58">
        <f t="shared" si="38"/>
        <v>0</v>
      </c>
      <c r="CT58">
        <f t="shared" si="39"/>
        <v>0</v>
      </c>
      <c r="CU58">
        <f t="shared" si="40"/>
        <v>0</v>
      </c>
      <c r="CV58">
        <f t="shared" si="41"/>
        <v>0</v>
      </c>
      <c r="CW58">
        <f t="shared" si="42"/>
        <v>0</v>
      </c>
      <c r="CX58">
        <f t="shared" si="43"/>
        <v>0</v>
      </c>
      <c r="CY58">
        <f t="shared" si="44"/>
        <v>0</v>
      </c>
      <c r="CZ58">
        <f t="shared" si="45"/>
        <v>0</v>
      </c>
      <c r="DN58">
        <v>0</v>
      </c>
      <c r="DO58">
        <v>0</v>
      </c>
      <c r="DP58">
        <v>1</v>
      </c>
      <c r="DQ58">
        <v>1</v>
      </c>
      <c r="DU58">
        <v>1013</v>
      </c>
      <c r="DV58" t="s">
        <v>25</v>
      </c>
      <c r="DW58" t="s">
        <v>25</v>
      </c>
      <c r="DX58">
        <v>1</v>
      </c>
      <c r="EE58">
        <v>25674155</v>
      </c>
      <c r="EF58">
        <v>1</v>
      </c>
      <c r="EG58" t="s">
        <v>19</v>
      </c>
      <c r="EH58">
        <v>0</v>
      </c>
      <c r="EJ58">
        <v>4</v>
      </c>
      <c r="EK58">
        <v>0</v>
      </c>
      <c r="EL58" t="s">
        <v>20</v>
      </c>
      <c r="EM58" t="s">
        <v>21</v>
      </c>
      <c r="EQ58">
        <v>0</v>
      </c>
      <c r="ER58">
        <v>0</v>
      </c>
      <c r="ES58">
        <v>316.95</v>
      </c>
      <c r="ET58">
        <v>0</v>
      </c>
      <c r="EU58">
        <v>0</v>
      </c>
      <c r="EV58">
        <v>0</v>
      </c>
      <c r="EW58">
        <v>0</v>
      </c>
      <c r="EX58">
        <v>0</v>
      </c>
      <c r="EZ58">
        <v>5</v>
      </c>
      <c r="FC58">
        <v>1</v>
      </c>
      <c r="FD58">
        <v>18</v>
      </c>
      <c r="FF58">
        <v>374</v>
      </c>
      <c r="FQ58">
        <v>0</v>
      </c>
      <c r="FR58">
        <f t="shared" si="46"/>
        <v>0</v>
      </c>
      <c r="FS58">
        <v>0</v>
      </c>
      <c r="FX58">
        <v>70</v>
      </c>
      <c r="FY58">
        <v>10</v>
      </c>
      <c r="GA58" t="s">
        <v>90</v>
      </c>
      <c r="GD58">
        <v>0</v>
      </c>
      <c r="GF58">
        <v>-2029574086</v>
      </c>
      <c r="GG58">
        <v>2</v>
      </c>
      <c r="GH58">
        <v>3</v>
      </c>
      <c r="GI58">
        <v>-2</v>
      </c>
      <c r="GJ58">
        <v>0</v>
      </c>
      <c r="GK58">
        <f>ROUND(R58*(R12)/100,2)</f>
        <v>0</v>
      </c>
      <c r="GL58">
        <f t="shared" si="47"/>
        <v>0</v>
      </c>
      <c r="GM58">
        <f t="shared" si="48"/>
        <v>633.9</v>
      </c>
      <c r="GN58">
        <f t="shared" si="49"/>
        <v>0</v>
      </c>
      <c r="GO58">
        <f t="shared" si="50"/>
        <v>0</v>
      </c>
      <c r="GP58">
        <f t="shared" si="51"/>
        <v>633.9</v>
      </c>
      <c r="GR58">
        <v>0</v>
      </c>
    </row>
    <row r="59" spans="1:200" ht="12.75">
      <c r="A59">
        <v>17</v>
      </c>
      <c r="B59">
        <v>1</v>
      </c>
      <c r="C59">
        <f>ROW(SmtRes!A81)</f>
        <v>81</v>
      </c>
      <c r="D59">
        <f>ROW(EtalonRes!A86)</f>
        <v>86</v>
      </c>
      <c r="E59" t="s">
        <v>129</v>
      </c>
      <c r="F59" t="s">
        <v>130</v>
      </c>
      <c r="G59" t="s">
        <v>131</v>
      </c>
      <c r="H59" t="s">
        <v>85</v>
      </c>
      <c r="I59">
        <v>25.6</v>
      </c>
      <c r="J59">
        <v>0</v>
      </c>
      <c r="O59">
        <f t="shared" si="15"/>
        <v>12788.22</v>
      </c>
      <c r="P59">
        <f t="shared" si="16"/>
        <v>9642.75</v>
      </c>
      <c r="Q59">
        <f t="shared" si="17"/>
        <v>0</v>
      </c>
      <c r="R59">
        <f t="shared" si="18"/>
        <v>0</v>
      </c>
      <c r="S59">
        <f t="shared" si="19"/>
        <v>3145.47</v>
      </c>
      <c r="T59">
        <f t="shared" si="20"/>
        <v>0</v>
      </c>
      <c r="U59">
        <f t="shared" si="21"/>
        <v>14.847999999999999</v>
      </c>
      <c r="V59">
        <f t="shared" si="22"/>
        <v>0</v>
      </c>
      <c r="W59">
        <f t="shared" si="23"/>
        <v>0</v>
      </c>
      <c r="X59">
        <f t="shared" si="24"/>
        <v>2201.83</v>
      </c>
      <c r="Y59">
        <f t="shared" si="25"/>
        <v>314.55</v>
      </c>
      <c r="AA59">
        <v>26615678</v>
      </c>
      <c r="AB59">
        <f t="shared" si="26"/>
        <v>499.54</v>
      </c>
      <c r="AC59">
        <f t="shared" si="27"/>
        <v>376.67</v>
      </c>
      <c r="AD59">
        <f t="shared" si="28"/>
        <v>0</v>
      </c>
      <c r="AE59">
        <f t="shared" si="29"/>
        <v>0</v>
      </c>
      <c r="AF59">
        <f t="shared" si="30"/>
        <v>122.87</v>
      </c>
      <c r="AG59">
        <f t="shared" si="31"/>
        <v>0</v>
      </c>
      <c r="AH59">
        <f t="shared" si="32"/>
        <v>0.58</v>
      </c>
      <c r="AI59">
        <f t="shared" si="33"/>
        <v>0</v>
      </c>
      <c r="AJ59">
        <f t="shared" si="34"/>
        <v>0</v>
      </c>
      <c r="AK59">
        <v>499.54</v>
      </c>
      <c r="AL59">
        <v>376.67</v>
      </c>
      <c r="AM59">
        <v>0</v>
      </c>
      <c r="AN59">
        <v>0</v>
      </c>
      <c r="AO59">
        <v>122.87</v>
      </c>
      <c r="AP59">
        <v>0</v>
      </c>
      <c r="AQ59">
        <v>0.58</v>
      </c>
      <c r="AR59">
        <v>0</v>
      </c>
      <c r="AS59">
        <v>0</v>
      </c>
      <c r="AT59">
        <v>70</v>
      </c>
      <c r="AU59">
        <v>10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</v>
      </c>
      <c r="BH59">
        <v>0</v>
      </c>
      <c r="BI59">
        <v>4</v>
      </c>
      <c r="BJ59" t="s">
        <v>132</v>
      </c>
      <c r="BM59">
        <v>0</v>
      </c>
      <c r="BN59">
        <v>0</v>
      </c>
      <c r="BP59">
        <v>0</v>
      </c>
      <c r="BQ59">
        <v>1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70</v>
      </c>
      <c r="CA59">
        <v>10</v>
      </c>
      <c r="CF59">
        <v>0</v>
      </c>
      <c r="CG59">
        <v>0</v>
      </c>
      <c r="CM59">
        <v>0</v>
      </c>
      <c r="CO59">
        <v>0</v>
      </c>
      <c r="CP59">
        <f t="shared" si="35"/>
        <v>12788.22</v>
      </c>
      <c r="CQ59">
        <f t="shared" si="36"/>
        <v>376.67</v>
      </c>
      <c r="CR59">
        <f t="shared" si="37"/>
        <v>0</v>
      </c>
      <c r="CS59">
        <f t="shared" si="38"/>
        <v>0</v>
      </c>
      <c r="CT59">
        <f t="shared" si="39"/>
        <v>122.87</v>
      </c>
      <c r="CU59">
        <f t="shared" si="40"/>
        <v>0</v>
      </c>
      <c r="CV59">
        <f t="shared" si="41"/>
        <v>0.58</v>
      </c>
      <c r="CW59">
        <f t="shared" si="42"/>
        <v>0</v>
      </c>
      <c r="CX59">
        <f t="shared" si="43"/>
        <v>0</v>
      </c>
      <c r="CY59">
        <f t="shared" si="44"/>
        <v>2201.8289999999997</v>
      </c>
      <c r="CZ59">
        <f t="shared" si="45"/>
        <v>314.54699999999997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85</v>
      </c>
      <c r="DW59" t="s">
        <v>85</v>
      </c>
      <c r="DX59">
        <v>1</v>
      </c>
      <c r="EE59">
        <v>25674155</v>
      </c>
      <c r="EF59">
        <v>1</v>
      </c>
      <c r="EG59" t="s">
        <v>19</v>
      </c>
      <c r="EH59">
        <v>0</v>
      </c>
      <c r="EJ59">
        <v>4</v>
      </c>
      <c r="EK59">
        <v>0</v>
      </c>
      <c r="EL59" t="s">
        <v>20</v>
      </c>
      <c r="EM59" t="s">
        <v>21</v>
      </c>
      <c r="EQ59">
        <v>0</v>
      </c>
      <c r="ER59">
        <v>499.54</v>
      </c>
      <c r="ES59">
        <v>376.67</v>
      </c>
      <c r="ET59">
        <v>0</v>
      </c>
      <c r="EU59">
        <v>0</v>
      </c>
      <c r="EV59">
        <v>122.87</v>
      </c>
      <c r="EW59">
        <v>0.58</v>
      </c>
      <c r="EX59">
        <v>0</v>
      </c>
      <c r="EY59">
        <v>0</v>
      </c>
      <c r="FQ59">
        <v>0</v>
      </c>
      <c r="FR59">
        <f t="shared" si="46"/>
        <v>0</v>
      </c>
      <c r="FS59">
        <v>0</v>
      </c>
      <c r="FX59">
        <v>70</v>
      </c>
      <c r="FY59">
        <v>10</v>
      </c>
      <c r="GD59">
        <v>0</v>
      </c>
      <c r="GF59">
        <v>-5478428</v>
      </c>
      <c r="GG59">
        <v>2</v>
      </c>
      <c r="GH59">
        <v>1</v>
      </c>
      <c r="GI59">
        <v>-2</v>
      </c>
      <c r="GJ59">
        <v>0</v>
      </c>
      <c r="GK59">
        <f>ROUND(R59*(R12)/100,2)</f>
        <v>0</v>
      </c>
      <c r="GL59">
        <f t="shared" si="47"/>
        <v>0</v>
      </c>
      <c r="GM59">
        <f t="shared" si="48"/>
        <v>15304.599999999999</v>
      </c>
      <c r="GN59">
        <f t="shared" si="49"/>
        <v>0</v>
      </c>
      <c r="GO59">
        <f t="shared" si="50"/>
        <v>0</v>
      </c>
      <c r="GP59">
        <f t="shared" si="51"/>
        <v>15304.6</v>
      </c>
      <c r="GR59">
        <v>0</v>
      </c>
    </row>
    <row r="60" spans="1:200" ht="12.75">
      <c r="A60">
        <v>18</v>
      </c>
      <c r="B60">
        <v>1</v>
      </c>
      <c r="C60">
        <v>78</v>
      </c>
      <c r="E60" t="s">
        <v>133</v>
      </c>
      <c r="F60" t="s">
        <v>134</v>
      </c>
      <c r="G60" t="s">
        <v>135</v>
      </c>
      <c r="H60" t="s">
        <v>85</v>
      </c>
      <c r="I60">
        <f>I59*J60</f>
        <v>26.879999999999995</v>
      </c>
      <c r="J60">
        <v>1.0499999999999998</v>
      </c>
      <c r="O60">
        <f aca="true" t="shared" si="52" ref="O60:O83">ROUND(CP60,2)</f>
        <v>27470.82</v>
      </c>
      <c r="P60">
        <f aca="true" t="shared" si="53" ref="P60:P83">ROUND(CQ60*I60,2)</f>
        <v>27470.82</v>
      </c>
      <c r="Q60">
        <f aca="true" t="shared" si="54" ref="Q60:Q83">ROUND(CR60*I60,2)</f>
        <v>0</v>
      </c>
      <c r="R60">
        <f aca="true" t="shared" si="55" ref="R60:R83">ROUND(CS60*I60,2)</f>
        <v>0</v>
      </c>
      <c r="S60">
        <f aca="true" t="shared" si="56" ref="S60:S83">ROUND(CT60*I60,2)</f>
        <v>0</v>
      </c>
      <c r="T60">
        <f aca="true" t="shared" si="57" ref="T60:T83">ROUND(CU60*I60,2)</f>
        <v>0</v>
      </c>
      <c r="U60">
        <f aca="true" t="shared" si="58" ref="U60:U83">CV60*I60</f>
        <v>0</v>
      </c>
      <c r="V60">
        <f aca="true" t="shared" si="59" ref="V60:V83">CW60*I60</f>
        <v>0</v>
      </c>
      <c r="W60">
        <f aca="true" t="shared" si="60" ref="W60:W83">ROUND(CX60*I60,2)</f>
        <v>0</v>
      </c>
      <c r="X60">
        <f aca="true" t="shared" si="61" ref="X60:X83">ROUND(CY60,2)</f>
        <v>0</v>
      </c>
      <c r="Y60">
        <f aca="true" t="shared" si="62" ref="Y60:Y83">ROUND(CZ60,2)</f>
        <v>0</v>
      </c>
      <c r="AA60">
        <v>26615678</v>
      </c>
      <c r="AB60">
        <f aca="true" t="shared" si="63" ref="AB60:AB83">ROUND((AC60+AD60+AF60),6)</f>
        <v>1021.98</v>
      </c>
      <c r="AC60">
        <f aca="true" t="shared" si="64" ref="AC60:AC83">ROUND((ES60),6)</f>
        <v>1021.98</v>
      </c>
      <c r="AD60">
        <f aca="true" t="shared" si="65" ref="AD60:AD83">ROUND((((ET60)-(EU60))+AE60),6)</f>
        <v>0</v>
      </c>
      <c r="AE60">
        <f aca="true" t="shared" si="66" ref="AE60:AE83">ROUND((EU60),6)</f>
        <v>0</v>
      </c>
      <c r="AF60">
        <f aca="true" t="shared" si="67" ref="AF60:AF83">ROUND((EV60),6)</f>
        <v>0</v>
      </c>
      <c r="AG60">
        <f aca="true" t="shared" si="68" ref="AG60:AG83">ROUND((AP60),6)</f>
        <v>0</v>
      </c>
      <c r="AH60">
        <f aca="true" t="shared" si="69" ref="AH60:AH83">(EW60)</f>
        <v>0</v>
      </c>
      <c r="AI60">
        <f aca="true" t="shared" si="70" ref="AI60:AI83">(EX60)</f>
        <v>0</v>
      </c>
      <c r="AJ60">
        <f aca="true" t="shared" si="71" ref="AJ60:AJ83">ROUND((AS60),6)</f>
        <v>0</v>
      </c>
      <c r="AK60">
        <v>1021.98</v>
      </c>
      <c r="AL60">
        <v>1021.98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70</v>
      </c>
      <c r="AU60">
        <v>10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1</v>
      </c>
      <c r="BH60">
        <v>3</v>
      </c>
      <c r="BI60">
        <v>4</v>
      </c>
      <c r="BJ60" t="s">
        <v>136</v>
      </c>
      <c r="BM60">
        <v>0</v>
      </c>
      <c r="BN60">
        <v>0</v>
      </c>
      <c r="BP60">
        <v>0</v>
      </c>
      <c r="BQ60">
        <v>1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70</v>
      </c>
      <c r="CA60">
        <v>10</v>
      </c>
      <c r="CF60">
        <v>0</v>
      </c>
      <c r="CG60">
        <v>0</v>
      </c>
      <c r="CM60">
        <v>0</v>
      </c>
      <c r="CO60">
        <v>0</v>
      </c>
      <c r="CP60">
        <f aca="true" t="shared" si="72" ref="CP60:CP83">(P60+Q60+S60)</f>
        <v>27470.82</v>
      </c>
      <c r="CQ60">
        <f aca="true" t="shared" si="73" ref="CQ60:CQ83">(AC60*BC60*AW60)</f>
        <v>1021.98</v>
      </c>
      <c r="CR60">
        <f aca="true" t="shared" si="74" ref="CR60:CR83">((((ET60)*BB60-(EU60)*BS60)+AE60*BS60)*AV60)</f>
        <v>0</v>
      </c>
      <c r="CS60">
        <f aca="true" t="shared" si="75" ref="CS60:CS83">(AE60*BS60*AV60)</f>
        <v>0</v>
      </c>
      <c r="CT60">
        <f aca="true" t="shared" si="76" ref="CT60:CT83">(AF60*BA60*AV60)</f>
        <v>0</v>
      </c>
      <c r="CU60">
        <f aca="true" t="shared" si="77" ref="CU60:CU83">AG60</f>
        <v>0</v>
      </c>
      <c r="CV60">
        <f aca="true" t="shared" si="78" ref="CV60:CV83">(AH60*AV60)</f>
        <v>0</v>
      </c>
      <c r="CW60">
        <f aca="true" t="shared" si="79" ref="CW60:CW83">AI60</f>
        <v>0</v>
      </c>
      <c r="CX60">
        <f aca="true" t="shared" si="80" ref="CX60:CX83">AJ60</f>
        <v>0</v>
      </c>
      <c r="CY60">
        <f aca="true" t="shared" si="81" ref="CY60:CY83">((S60*BZ60)/100)</f>
        <v>0</v>
      </c>
      <c r="CZ60">
        <f aca="true" t="shared" si="82" ref="CZ60:CZ83">((S60*CA60)/100)</f>
        <v>0</v>
      </c>
      <c r="DN60">
        <v>0</v>
      </c>
      <c r="DO60">
        <v>0</v>
      </c>
      <c r="DP60">
        <v>1</v>
      </c>
      <c r="DQ60">
        <v>1</v>
      </c>
      <c r="DU60">
        <v>1013</v>
      </c>
      <c r="DV60" t="s">
        <v>85</v>
      </c>
      <c r="DW60" t="s">
        <v>85</v>
      </c>
      <c r="DX60">
        <v>1</v>
      </c>
      <c r="EE60">
        <v>25674155</v>
      </c>
      <c r="EF60">
        <v>1</v>
      </c>
      <c r="EG60" t="s">
        <v>19</v>
      </c>
      <c r="EH60">
        <v>0</v>
      </c>
      <c r="EJ60">
        <v>4</v>
      </c>
      <c r="EK60">
        <v>0</v>
      </c>
      <c r="EL60" t="s">
        <v>20</v>
      </c>
      <c r="EM60" t="s">
        <v>21</v>
      </c>
      <c r="EQ60">
        <v>0</v>
      </c>
      <c r="ER60">
        <v>1021.98</v>
      </c>
      <c r="ES60">
        <v>1021.98</v>
      </c>
      <c r="ET60">
        <v>0</v>
      </c>
      <c r="EU60">
        <v>0</v>
      </c>
      <c r="EV60">
        <v>0</v>
      </c>
      <c r="EW60">
        <v>0</v>
      </c>
      <c r="EX60">
        <v>0</v>
      </c>
      <c r="FQ60">
        <v>0</v>
      </c>
      <c r="FR60">
        <f aca="true" t="shared" si="83" ref="FR60:FR83">ROUND(IF(AND(BH60=3,BI60=3),P60,0),2)</f>
        <v>0</v>
      </c>
      <c r="FS60">
        <v>0</v>
      </c>
      <c r="FX60">
        <v>70</v>
      </c>
      <c r="FY60">
        <v>10</v>
      </c>
      <c r="GD60">
        <v>0</v>
      </c>
      <c r="GF60">
        <v>-89525433</v>
      </c>
      <c r="GG60">
        <v>2</v>
      </c>
      <c r="GH60">
        <v>1</v>
      </c>
      <c r="GI60">
        <v>-2</v>
      </c>
      <c r="GJ60">
        <v>0</v>
      </c>
      <c r="GK60">
        <f>ROUND(R60*(R12)/100,2)</f>
        <v>0</v>
      </c>
      <c r="GL60">
        <f aca="true" t="shared" si="84" ref="GL60:GL83">ROUND(IF(AND(BH60=3,BI60=3,FS60&lt;&gt;0),P60,0),2)</f>
        <v>0</v>
      </c>
      <c r="GM60">
        <f aca="true" t="shared" si="85" ref="GM60:GM83">O60+X60+Y60+GK60</f>
        <v>27470.82</v>
      </c>
      <c r="GN60">
        <f aca="true" t="shared" si="86" ref="GN60:GN83">ROUND(IF(OR(BI60=0,BI60=1),O60+X60+Y60+GK60,0),2)</f>
        <v>0</v>
      </c>
      <c r="GO60">
        <f aca="true" t="shared" si="87" ref="GO60:GO83">ROUND(IF(BI60=2,O60+X60+Y60+GK60,0),2)</f>
        <v>0</v>
      </c>
      <c r="GP60">
        <f aca="true" t="shared" si="88" ref="GP60:GP83">ROUND(IF(BI60=4,O60+X60+Y60+GK60,0),2)</f>
        <v>27470.82</v>
      </c>
      <c r="GR60">
        <v>0</v>
      </c>
    </row>
    <row r="61" spans="1:200" ht="12.75">
      <c r="A61">
        <v>18</v>
      </c>
      <c r="B61">
        <v>1</v>
      </c>
      <c r="C61">
        <v>80</v>
      </c>
      <c r="E61" t="s">
        <v>137</v>
      </c>
      <c r="F61" t="s">
        <v>138</v>
      </c>
      <c r="G61" t="s">
        <v>139</v>
      </c>
      <c r="H61" t="s">
        <v>140</v>
      </c>
      <c r="I61">
        <f>I59*J61</f>
        <v>5.12</v>
      </c>
      <c r="J61">
        <v>0.19999999999999998</v>
      </c>
      <c r="O61">
        <f t="shared" si="52"/>
        <v>1291.88</v>
      </c>
      <c r="P61">
        <f t="shared" si="53"/>
        <v>1291.88</v>
      </c>
      <c r="Q61">
        <f t="shared" si="54"/>
        <v>0</v>
      </c>
      <c r="R61">
        <f t="shared" si="55"/>
        <v>0</v>
      </c>
      <c r="S61">
        <f t="shared" si="56"/>
        <v>0</v>
      </c>
      <c r="T61">
        <f t="shared" si="57"/>
        <v>0</v>
      </c>
      <c r="U61">
        <f t="shared" si="58"/>
        <v>0</v>
      </c>
      <c r="V61">
        <f t="shared" si="59"/>
        <v>0</v>
      </c>
      <c r="W61">
        <f t="shared" si="60"/>
        <v>0</v>
      </c>
      <c r="X61">
        <f t="shared" si="61"/>
        <v>0</v>
      </c>
      <c r="Y61">
        <f t="shared" si="62"/>
        <v>0</v>
      </c>
      <c r="AA61">
        <v>26615678</v>
      </c>
      <c r="AB61">
        <f t="shared" si="63"/>
        <v>252.32</v>
      </c>
      <c r="AC61">
        <f t="shared" si="64"/>
        <v>252.32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252.32</v>
      </c>
      <c r="AL61">
        <v>252.32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70</v>
      </c>
      <c r="AU61">
        <v>10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H61">
        <v>3</v>
      </c>
      <c r="BI61">
        <v>4</v>
      </c>
      <c r="BJ61" t="s">
        <v>141</v>
      </c>
      <c r="BM61">
        <v>0</v>
      </c>
      <c r="BN61">
        <v>0</v>
      </c>
      <c r="BP61">
        <v>0</v>
      </c>
      <c r="BQ61">
        <v>1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70</v>
      </c>
      <c r="CA61">
        <v>10</v>
      </c>
      <c r="CF61">
        <v>0</v>
      </c>
      <c r="CG61">
        <v>0</v>
      </c>
      <c r="CM61">
        <v>0</v>
      </c>
      <c r="CO61">
        <v>0</v>
      </c>
      <c r="CP61">
        <f t="shared" si="72"/>
        <v>1291.88</v>
      </c>
      <c r="CQ61">
        <f t="shared" si="73"/>
        <v>252.32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140</v>
      </c>
      <c r="DW61" t="s">
        <v>140</v>
      </c>
      <c r="DX61">
        <v>1</v>
      </c>
      <c r="EE61">
        <v>25674155</v>
      </c>
      <c r="EF61">
        <v>1</v>
      </c>
      <c r="EG61" t="s">
        <v>19</v>
      </c>
      <c r="EH61">
        <v>0</v>
      </c>
      <c r="EJ61">
        <v>4</v>
      </c>
      <c r="EK61">
        <v>0</v>
      </c>
      <c r="EL61" t="s">
        <v>20</v>
      </c>
      <c r="EM61" t="s">
        <v>21</v>
      </c>
      <c r="EQ61">
        <v>0</v>
      </c>
      <c r="ER61">
        <v>252.32</v>
      </c>
      <c r="ES61">
        <v>252.32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3"/>
        <v>0</v>
      </c>
      <c r="FS61">
        <v>0</v>
      </c>
      <c r="FX61">
        <v>70</v>
      </c>
      <c r="FY61">
        <v>10</v>
      </c>
      <c r="GD61">
        <v>0</v>
      </c>
      <c r="GF61">
        <v>-1981075866</v>
      </c>
      <c r="GG61">
        <v>2</v>
      </c>
      <c r="GH61">
        <v>1</v>
      </c>
      <c r="GI61">
        <v>-2</v>
      </c>
      <c r="GJ61">
        <v>0</v>
      </c>
      <c r="GK61">
        <f>ROUND(R61*(R12)/100,2)</f>
        <v>0</v>
      </c>
      <c r="GL61">
        <f t="shared" si="84"/>
        <v>0</v>
      </c>
      <c r="GM61">
        <f t="shared" si="85"/>
        <v>1291.88</v>
      </c>
      <c r="GN61">
        <f t="shared" si="86"/>
        <v>0</v>
      </c>
      <c r="GO61">
        <f t="shared" si="87"/>
        <v>0</v>
      </c>
      <c r="GP61">
        <f t="shared" si="88"/>
        <v>1291.88</v>
      </c>
      <c r="GR61">
        <v>0</v>
      </c>
    </row>
    <row r="62" spans="1:200" ht="12.75">
      <c r="A62">
        <v>17</v>
      </c>
      <c r="B62">
        <v>1</v>
      </c>
      <c r="C62">
        <f>ROW(SmtRes!A88)</f>
        <v>88</v>
      </c>
      <c r="D62">
        <f>ROW(EtalonRes!A92)</f>
        <v>92</v>
      </c>
      <c r="E62" t="s">
        <v>142</v>
      </c>
      <c r="F62" t="s">
        <v>143</v>
      </c>
      <c r="G62" t="s">
        <v>144</v>
      </c>
      <c r="H62" t="s">
        <v>17</v>
      </c>
      <c r="I62">
        <v>1</v>
      </c>
      <c r="J62">
        <v>0</v>
      </c>
      <c r="O62">
        <f t="shared" si="52"/>
        <v>3457.52</v>
      </c>
      <c r="P62">
        <f t="shared" si="53"/>
        <v>3097.42</v>
      </c>
      <c r="Q62">
        <f t="shared" si="54"/>
        <v>4.92</v>
      </c>
      <c r="R62">
        <f t="shared" si="55"/>
        <v>1.03</v>
      </c>
      <c r="S62">
        <f t="shared" si="56"/>
        <v>355.18</v>
      </c>
      <c r="T62">
        <f t="shared" si="57"/>
        <v>0</v>
      </c>
      <c r="U62">
        <f t="shared" si="58"/>
        <v>1.99</v>
      </c>
      <c r="V62">
        <f t="shared" si="59"/>
        <v>0</v>
      </c>
      <c r="W62">
        <f t="shared" si="60"/>
        <v>0</v>
      </c>
      <c r="X62">
        <f t="shared" si="61"/>
        <v>248.63</v>
      </c>
      <c r="Y62">
        <f t="shared" si="62"/>
        <v>35.52</v>
      </c>
      <c r="AA62">
        <v>26615678</v>
      </c>
      <c r="AB62">
        <f t="shared" si="63"/>
        <v>3457.52</v>
      </c>
      <c r="AC62">
        <f t="shared" si="64"/>
        <v>3097.42</v>
      </c>
      <c r="AD62">
        <f t="shared" si="65"/>
        <v>4.92</v>
      </c>
      <c r="AE62">
        <f t="shared" si="66"/>
        <v>1.03</v>
      </c>
      <c r="AF62">
        <f t="shared" si="67"/>
        <v>355.18</v>
      </c>
      <c r="AG62">
        <f t="shared" si="68"/>
        <v>0</v>
      </c>
      <c r="AH62">
        <f t="shared" si="69"/>
        <v>1.99</v>
      </c>
      <c r="AI62">
        <f t="shared" si="70"/>
        <v>0</v>
      </c>
      <c r="AJ62">
        <f t="shared" si="71"/>
        <v>0</v>
      </c>
      <c r="AK62">
        <v>3457.52</v>
      </c>
      <c r="AL62">
        <v>3097.42</v>
      </c>
      <c r="AM62">
        <v>4.92</v>
      </c>
      <c r="AN62">
        <v>1.03</v>
      </c>
      <c r="AO62">
        <v>355.18</v>
      </c>
      <c r="AP62">
        <v>0</v>
      </c>
      <c r="AQ62">
        <v>1.99</v>
      </c>
      <c r="AR62">
        <v>0</v>
      </c>
      <c r="AS62">
        <v>0</v>
      </c>
      <c r="AT62">
        <v>70</v>
      </c>
      <c r="AU62">
        <v>10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1</v>
      </c>
      <c r="BH62">
        <v>0</v>
      </c>
      <c r="BI62">
        <v>4</v>
      </c>
      <c r="BJ62" t="s">
        <v>145</v>
      </c>
      <c r="BM62">
        <v>0</v>
      </c>
      <c r="BN62">
        <v>0</v>
      </c>
      <c r="BP62">
        <v>0</v>
      </c>
      <c r="BQ62">
        <v>1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70</v>
      </c>
      <c r="CA62">
        <v>10</v>
      </c>
      <c r="CF62">
        <v>0</v>
      </c>
      <c r="CG62">
        <v>0</v>
      </c>
      <c r="CM62">
        <v>0</v>
      </c>
      <c r="CO62">
        <v>0</v>
      </c>
      <c r="CP62">
        <f t="shared" si="72"/>
        <v>3457.52</v>
      </c>
      <c r="CQ62">
        <f t="shared" si="73"/>
        <v>3097.42</v>
      </c>
      <c r="CR62">
        <f t="shared" si="74"/>
        <v>4.92</v>
      </c>
      <c r="CS62">
        <f t="shared" si="75"/>
        <v>1.03</v>
      </c>
      <c r="CT62">
        <f t="shared" si="76"/>
        <v>355.18</v>
      </c>
      <c r="CU62">
        <f t="shared" si="77"/>
        <v>0</v>
      </c>
      <c r="CV62">
        <f t="shared" si="78"/>
        <v>1.99</v>
      </c>
      <c r="CW62">
        <f t="shared" si="79"/>
        <v>0</v>
      </c>
      <c r="CX62">
        <f t="shared" si="80"/>
        <v>0</v>
      </c>
      <c r="CY62">
        <f t="shared" si="81"/>
        <v>248.62600000000003</v>
      </c>
      <c r="CZ62">
        <f t="shared" si="82"/>
        <v>35.518</v>
      </c>
      <c r="DN62">
        <v>0</v>
      </c>
      <c r="DO62">
        <v>0</v>
      </c>
      <c r="DP62">
        <v>1</v>
      </c>
      <c r="DQ62">
        <v>1</v>
      </c>
      <c r="DU62">
        <v>1013</v>
      </c>
      <c r="DV62" t="s">
        <v>17</v>
      </c>
      <c r="DW62" t="s">
        <v>17</v>
      </c>
      <c r="DX62">
        <v>1</v>
      </c>
      <c r="EE62">
        <v>25674155</v>
      </c>
      <c r="EF62">
        <v>1</v>
      </c>
      <c r="EG62" t="s">
        <v>19</v>
      </c>
      <c r="EH62">
        <v>0</v>
      </c>
      <c r="EJ62">
        <v>4</v>
      </c>
      <c r="EK62">
        <v>0</v>
      </c>
      <c r="EL62" t="s">
        <v>20</v>
      </c>
      <c r="EM62" t="s">
        <v>21</v>
      </c>
      <c r="EQ62">
        <v>0</v>
      </c>
      <c r="ER62">
        <v>3457.52</v>
      </c>
      <c r="ES62">
        <v>3097.42</v>
      </c>
      <c r="ET62">
        <v>4.92</v>
      </c>
      <c r="EU62">
        <v>1.03</v>
      </c>
      <c r="EV62">
        <v>355.18</v>
      </c>
      <c r="EW62">
        <v>1.99</v>
      </c>
      <c r="EX62">
        <v>0</v>
      </c>
      <c r="EY62">
        <v>0</v>
      </c>
      <c r="FQ62">
        <v>0</v>
      </c>
      <c r="FR62">
        <f t="shared" si="83"/>
        <v>0</v>
      </c>
      <c r="FS62">
        <v>0</v>
      </c>
      <c r="FX62">
        <v>70</v>
      </c>
      <c r="FY62">
        <v>10</v>
      </c>
      <c r="GD62">
        <v>0</v>
      </c>
      <c r="GF62">
        <v>-1654204132</v>
      </c>
      <c r="GG62">
        <v>2</v>
      </c>
      <c r="GH62">
        <v>1</v>
      </c>
      <c r="GI62">
        <v>-2</v>
      </c>
      <c r="GJ62">
        <v>0</v>
      </c>
      <c r="GK62">
        <f>ROUND(R62*(R12)/100,2)</f>
        <v>1.11</v>
      </c>
      <c r="GL62">
        <f t="shared" si="84"/>
        <v>0</v>
      </c>
      <c r="GM62">
        <f t="shared" si="85"/>
        <v>3742.78</v>
      </c>
      <c r="GN62">
        <f t="shared" si="86"/>
        <v>0</v>
      </c>
      <c r="GO62">
        <f t="shared" si="87"/>
        <v>0</v>
      </c>
      <c r="GP62">
        <f t="shared" si="88"/>
        <v>3742.78</v>
      </c>
      <c r="GR62">
        <v>0</v>
      </c>
    </row>
    <row r="63" spans="1:200" ht="12.75">
      <c r="A63">
        <v>18</v>
      </c>
      <c r="B63">
        <v>1</v>
      </c>
      <c r="C63">
        <v>88</v>
      </c>
      <c r="E63" t="s">
        <v>146</v>
      </c>
      <c r="F63" t="s">
        <v>147</v>
      </c>
      <c r="G63" t="s">
        <v>148</v>
      </c>
      <c r="H63" t="s">
        <v>25</v>
      </c>
      <c r="I63">
        <f>I62*J63</f>
        <v>1</v>
      </c>
      <c r="J63">
        <v>1</v>
      </c>
      <c r="O63">
        <f t="shared" si="52"/>
        <v>1426.27</v>
      </c>
      <c r="P63">
        <f t="shared" si="53"/>
        <v>1426.27</v>
      </c>
      <c r="Q63">
        <f t="shared" si="54"/>
        <v>0</v>
      </c>
      <c r="R63">
        <f t="shared" si="55"/>
        <v>0</v>
      </c>
      <c r="S63">
        <f t="shared" si="56"/>
        <v>0</v>
      </c>
      <c r="T63">
        <f t="shared" si="57"/>
        <v>0</v>
      </c>
      <c r="U63">
        <f t="shared" si="58"/>
        <v>0</v>
      </c>
      <c r="V63">
        <f t="shared" si="59"/>
        <v>0</v>
      </c>
      <c r="W63">
        <f t="shared" si="60"/>
        <v>0</v>
      </c>
      <c r="X63">
        <f t="shared" si="61"/>
        <v>0</v>
      </c>
      <c r="Y63">
        <f t="shared" si="62"/>
        <v>0</v>
      </c>
      <c r="AA63">
        <v>26615678</v>
      </c>
      <c r="AB63">
        <f t="shared" si="63"/>
        <v>1426.27</v>
      </c>
      <c r="AC63">
        <f t="shared" si="64"/>
        <v>1426.27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1426.27</v>
      </c>
      <c r="AL63">
        <v>1426.27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70</v>
      </c>
      <c r="AU63">
        <v>10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4</v>
      </c>
      <c r="BM63">
        <v>0</v>
      </c>
      <c r="BN63">
        <v>0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70</v>
      </c>
      <c r="CA63">
        <v>10</v>
      </c>
      <c r="CF63">
        <v>0</v>
      </c>
      <c r="CG63">
        <v>0</v>
      </c>
      <c r="CM63">
        <v>0</v>
      </c>
      <c r="CO63">
        <v>0</v>
      </c>
      <c r="CP63">
        <f t="shared" si="72"/>
        <v>1426.27</v>
      </c>
      <c r="CQ63">
        <f t="shared" si="73"/>
        <v>1426.27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25</v>
      </c>
      <c r="DW63" t="s">
        <v>25</v>
      </c>
      <c r="DX63">
        <v>1</v>
      </c>
      <c r="EE63">
        <v>25674155</v>
      </c>
      <c r="EF63">
        <v>1</v>
      </c>
      <c r="EG63" t="s">
        <v>19</v>
      </c>
      <c r="EH63">
        <v>0</v>
      </c>
      <c r="EJ63">
        <v>4</v>
      </c>
      <c r="EK63">
        <v>0</v>
      </c>
      <c r="EL63" t="s">
        <v>20</v>
      </c>
      <c r="EM63" t="s">
        <v>21</v>
      </c>
      <c r="EQ63">
        <v>0</v>
      </c>
      <c r="ER63">
        <v>0</v>
      </c>
      <c r="ES63">
        <v>1426.27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1</v>
      </c>
      <c r="FD63">
        <v>18</v>
      </c>
      <c r="FF63">
        <v>1683</v>
      </c>
      <c r="FQ63">
        <v>0</v>
      </c>
      <c r="FR63">
        <f t="shared" si="83"/>
        <v>0</v>
      </c>
      <c r="FS63">
        <v>0</v>
      </c>
      <c r="FX63">
        <v>70</v>
      </c>
      <c r="FY63">
        <v>10</v>
      </c>
      <c r="GA63" t="s">
        <v>149</v>
      </c>
      <c r="GD63">
        <v>0</v>
      </c>
      <c r="GF63">
        <v>1850717941</v>
      </c>
      <c r="GG63">
        <v>2</v>
      </c>
      <c r="GH63">
        <v>3</v>
      </c>
      <c r="GI63">
        <v>3</v>
      </c>
      <c r="GJ63">
        <v>0</v>
      </c>
      <c r="GK63">
        <f>ROUND(R63*(R12)/100,2)</f>
        <v>0</v>
      </c>
      <c r="GL63">
        <f t="shared" si="84"/>
        <v>0</v>
      </c>
      <c r="GM63">
        <f t="shared" si="85"/>
        <v>1426.27</v>
      </c>
      <c r="GN63">
        <f t="shared" si="86"/>
        <v>0</v>
      </c>
      <c r="GO63">
        <f t="shared" si="87"/>
        <v>0</v>
      </c>
      <c r="GP63">
        <f t="shared" si="88"/>
        <v>1426.27</v>
      </c>
      <c r="GR63">
        <v>0</v>
      </c>
    </row>
    <row r="64" spans="1:200" ht="12.75">
      <c r="A64">
        <v>18</v>
      </c>
      <c r="B64">
        <v>1</v>
      </c>
      <c r="C64">
        <v>86</v>
      </c>
      <c r="E64" t="s">
        <v>150</v>
      </c>
      <c r="F64" t="s">
        <v>151</v>
      </c>
      <c r="G64" t="s">
        <v>152</v>
      </c>
      <c r="H64" t="s">
        <v>140</v>
      </c>
      <c r="I64">
        <f>I62*J64</f>
        <v>7.1</v>
      </c>
      <c r="J64">
        <v>7.1</v>
      </c>
      <c r="O64">
        <f t="shared" si="52"/>
        <v>698.92</v>
      </c>
      <c r="P64">
        <f t="shared" si="53"/>
        <v>698.92</v>
      </c>
      <c r="Q64">
        <f t="shared" si="54"/>
        <v>0</v>
      </c>
      <c r="R64">
        <f t="shared" si="55"/>
        <v>0</v>
      </c>
      <c r="S64">
        <f t="shared" si="56"/>
        <v>0</v>
      </c>
      <c r="T64">
        <f t="shared" si="57"/>
        <v>0</v>
      </c>
      <c r="U64">
        <f t="shared" si="58"/>
        <v>0</v>
      </c>
      <c r="V64">
        <f t="shared" si="59"/>
        <v>0</v>
      </c>
      <c r="W64">
        <f t="shared" si="60"/>
        <v>0</v>
      </c>
      <c r="X64">
        <f t="shared" si="61"/>
        <v>0</v>
      </c>
      <c r="Y64">
        <f t="shared" si="62"/>
        <v>0</v>
      </c>
      <c r="AA64">
        <v>26615678</v>
      </c>
      <c r="AB64">
        <f t="shared" si="63"/>
        <v>98.44</v>
      </c>
      <c r="AC64">
        <f t="shared" si="64"/>
        <v>98.44</v>
      </c>
      <c r="AD64">
        <f t="shared" si="65"/>
        <v>0</v>
      </c>
      <c r="AE64">
        <f t="shared" si="66"/>
        <v>0</v>
      </c>
      <c r="AF64">
        <f t="shared" si="67"/>
        <v>0</v>
      </c>
      <c r="AG64">
        <f t="shared" si="68"/>
        <v>0</v>
      </c>
      <c r="AH64">
        <f t="shared" si="69"/>
        <v>0</v>
      </c>
      <c r="AI64">
        <f t="shared" si="70"/>
        <v>0</v>
      </c>
      <c r="AJ64">
        <f t="shared" si="71"/>
        <v>0</v>
      </c>
      <c r="AK64">
        <v>98.44</v>
      </c>
      <c r="AL64">
        <v>98.44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70</v>
      </c>
      <c r="AU64">
        <v>10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</v>
      </c>
      <c r="BH64">
        <v>3</v>
      </c>
      <c r="BI64">
        <v>4</v>
      </c>
      <c r="BJ64" t="s">
        <v>153</v>
      </c>
      <c r="BM64">
        <v>0</v>
      </c>
      <c r="BN64">
        <v>0</v>
      </c>
      <c r="BP64">
        <v>0</v>
      </c>
      <c r="BQ64">
        <v>1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70</v>
      </c>
      <c r="CA64">
        <v>10</v>
      </c>
      <c r="CF64">
        <v>0</v>
      </c>
      <c r="CG64">
        <v>0</v>
      </c>
      <c r="CM64">
        <v>0</v>
      </c>
      <c r="CO64">
        <v>0</v>
      </c>
      <c r="CP64">
        <f t="shared" si="72"/>
        <v>698.92</v>
      </c>
      <c r="CQ64">
        <f t="shared" si="73"/>
        <v>98.44</v>
      </c>
      <c r="CR64">
        <f t="shared" si="74"/>
        <v>0</v>
      </c>
      <c r="CS64">
        <f t="shared" si="75"/>
        <v>0</v>
      </c>
      <c r="CT64">
        <f t="shared" si="76"/>
        <v>0</v>
      </c>
      <c r="CU64">
        <f t="shared" si="77"/>
        <v>0</v>
      </c>
      <c r="CV64">
        <f t="shared" si="78"/>
        <v>0</v>
      </c>
      <c r="CW64">
        <f t="shared" si="79"/>
        <v>0</v>
      </c>
      <c r="CX64">
        <f t="shared" si="80"/>
        <v>0</v>
      </c>
      <c r="CY64">
        <f t="shared" si="81"/>
        <v>0</v>
      </c>
      <c r="CZ64">
        <f t="shared" si="82"/>
        <v>0</v>
      </c>
      <c r="DN64">
        <v>0</v>
      </c>
      <c r="DO64">
        <v>0</v>
      </c>
      <c r="DP64">
        <v>1</v>
      </c>
      <c r="DQ64">
        <v>1</v>
      </c>
      <c r="DU64">
        <v>1013</v>
      </c>
      <c r="DV64" t="s">
        <v>140</v>
      </c>
      <c r="DW64" t="s">
        <v>140</v>
      </c>
      <c r="DX64">
        <v>1</v>
      </c>
      <c r="EE64">
        <v>25674155</v>
      </c>
      <c r="EF64">
        <v>1</v>
      </c>
      <c r="EG64" t="s">
        <v>19</v>
      </c>
      <c r="EH64">
        <v>0</v>
      </c>
      <c r="EJ64">
        <v>4</v>
      </c>
      <c r="EK64">
        <v>0</v>
      </c>
      <c r="EL64" t="s">
        <v>20</v>
      </c>
      <c r="EM64" t="s">
        <v>21</v>
      </c>
      <c r="EQ64">
        <v>0</v>
      </c>
      <c r="ER64">
        <v>98.44</v>
      </c>
      <c r="ES64">
        <v>98.44</v>
      </c>
      <c r="ET64">
        <v>0</v>
      </c>
      <c r="EU64">
        <v>0</v>
      </c>
      <c r="EV64">
        <v>0</v>
      </c>
      <c r="EW64">
        <v>0</v>
      </c>
      <c r="EX64">
        <v>0</v>
      </c>
      <c r="FQ64">
        <v>0</v>
      </c>
      <c r="FR64">
        <f t="shared" si="83"/>
        <v>0</v>
      </c>
      <c r="FS64">
        <v>0</v>
      </c>
      <c r="FX64">
        <v>70</v>
      </c>
      <c r="FY64">
        <v>10</v>
      </c>
      <c r="GD64">
        <v>0</v>
      </c>
      <c r="GF64">
        <v>378778038</v>
      </c>
      <c r="GG64">
        <v>2</v>
      </c>
      <c r="GH64">
        <v>1</v>
      </c>
      <c r="GI64">
        <v>-2</v>
      </c>
      <c r="GJ64">
        <v>0</v>
      </c>
      <c r="GK64">
        <f>ROUND(R64*(R12)/100,2)</f>
        <v>0</v>
      </c>
      <c r="GL64">
        <f t="shared" si="84"/>
        <v>0</v>
      </c>
      <c r="GM64">
        <f t="shared" si="85"/>
        <v>698.92</v>
      </c>
      <c r="GN64">
        <f t="shared" si="86"/>
        <v>0</v>
      </c>
      <c r="GO64">
        <f t="shared" si="87"/>
        <v>0</v>
      </c>
      <c r="GP64">
        <f t="shared" si="88"/>
        <v>698.92</v>
      </c>
      <c r="GR64">
        <v>0</v>
      </c>
    </row>
    <row r="65" spans="1:200" ht="12.75">
      <c r="A65">
        <v>18</v>
      </c>
      <c r="B65">
        <v>1</v>
      </c>
      <c r="C65">
        <v>87</v>
      </c>
      <c r="E65" t="s">
        <v>154</v>
      </c>
      <c r="F65" t="s">
        <v>155</v>
      </c>
      <c r="G65" t="s">
        <v>156</v>
      </c>
      <c r="H65" t="s">
        <v>17</v>
      </c>
      <c r="I65">
        <f>I62*J65</f>
        <v>-1</v>
      </c>
      <c r="J65">
        <v>-1</v>
      </c>
      <c r="O65">
        <f t="shared" si="52"/>
        <v>-3019.37</v>
      </c>
      <c r="P65">
        <f t="shared" si="53"/>
        <v>-3019.37</v>
      </c>
      <c r="Q65">
        <f t="shared" si="54"/>
        <v>0</v>
      </c>
      <c r="R65">
        <f t="shared" si="55"/>
        <v>0</v>
      </c>
      <c r="S65">
        <f t="shared" si="56"/>
        <v>0</v>
      </c>
      <c r="T65">
        <f t="shared" si="57"/>
        <v>0</v>
      </c>
      <c r="U65">
        <f t="shared" si="58"/>
        <v>0</v>
      </c>
      <c r="V65">
        <f t="shared" si="59"/>
        <v>0</v>
      </c>
      <c r="W65">
        <f t="shared" si="60"/>
        <v>0</v>
      </c>
      <c r="X65">
        <f t="shared" si="61"/>
        <v>0</v>
      </c>
      <c r="Y65">
        <f t="shared" si="62"/>
        <v>0</v>
      </c>
      <c r="AA65">
        <v>26615678</v>
      </c>
      <c r="AB65">
        <f t="shared" si="63"/>
        <v>3019.37</v>
      </c>
      <c r="AC65">
        <f t="shared" si="64"/>
        <v>3019.37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3019.37</v>
      </c>
      <c r="AL65">
        <v>3019.37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70</v>
      </c>
      <c r="AU65">
        <v>10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4</v>
      </c>
      <c r="BJ65" t="s">
        <v>157</v>
      </c>
      <c r="BM65">
        <v>0</v>
      </c>
      <c r="BN65">
        <v>0</v>
      </c>
      <c r="BP65">
        <v>0</v>
      </c>
      <c r="BQ65">
        <v>1</v>
      </c>
      <c r="BR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70</v>
      </c>
      <c r="CA65">
        <v>10</v>
      </c>
      <c r="CF65">
        <v>0</v>
      </c>
      <c r="CG65">
        <v>0</v>
      </c>
      <c r="CM65">
        <v>0</v>
      </c>
      <c r="CO65">
        <v>0</v>
      </c>
      <c r="CP65">
        <f t="shared" si="72"/>
        <v>-3019.37</v>
      </c>
      <c r="CQ65">
        <f t="shared" si="73"/>
        <v>3019.37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17</v>
      </c>
      <c r="DW65" t="s">
        <v>17</v>
      </c>
      <c r="DX65">
        <v>1</v>
      </c>
      <c r="EE65">
        <v>25674155</v>
      </c>
      <c r="EF65">
        <v>1</v>
      </c>
      <c r="EG65" t="s">
        <v>19</v>
      </c>
      <c r="EH65">
        <v>0</v>
      </c>
      <c r="EJ65">
        <v>4</v>
      </c>
      <c r="EK65">
        <v>0</v>
      </c>
      <c r="EL65" t="s">
        <v>20</v>
      </c>
      <c r="EM65" t="s">
        <v>21</v>
      </c>
      <c r="EQ65">
        <v>0</v>
      </c>
      <c r="ER65">
        <v>3019.37</v>
      </c>
      <c r="ES65">
        <v>3019.37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3"/>
        <v>0</v>
      </c>
      <c r="FS65">
        <v>0</v>
      </c>
      <c r="FX65">
        <v>70</v>
      </c>
      <c r="FY65">
        <v>10</v>
      </c>
      <c r="GD65">
        <v>0</v>
      </c>
      <c r="GF65">
        <v>-2088654977</v>
      </c>
      <c r="GG65">
        <v>2</v>
      </c>
      <c r="GH65">
        <v>1</v>
      </c>
      <c r="GI65">
        <v>-2</v>
      </c>
      <c r="GJ65">
        <v>0</v>
      </c>
      <c r="GK65">
        <f>ROUND(R65*(R12)/100,2)</f>
        <v>0</v>
      </c>
      <c r="GL65">
        <f t="shared" si="84"/>
        <v>0</v>
      </c>
      <c r="GM65">
        <f t="shared" si="85"/>
        <v>-3019.37</v>
      </c>
      <c r="GN65">
        <f t="shared" si="86"/>
        <v>0</v>
      </c>
      <c r="GO65">
        <f t="shared" si="87"/>
        <v>0</v>
      </c>
      <c r="GP65">
        <f t="shared" si="88"/>
        <v>-3019.37</v>
      </c>
      <c r="GR65">
        <v>0</v>
      </c>
    </row>
    <row r="66" spans="1:200" ht="12.75">
      <c r="A66">
        <v>17</v>
      </c>
      <c r="B66">
        <v>1</v>
      </c>
      <c r="C66">
        <f>ROW(SmtRes!A94)</f>
        <v>94</v>
      </c>
      <c r="D66">
        <f>ROW(EtalonRes!A98)</f>
        <v>98</v>
      </c>
      <c r="E66" t="s">
        <v>158</v>
      </c>
      <c r="F66" t="s">
        <v>143</v>
      </c>
      <c r="G66" t="s">
        <v>159</v>
      </c>
      <c r="H66" t="s">
        <v>17</v>
      </c>
      <c r="I66">
        <v>7</v>
      </c>
      <c r="J66">
        <v>0</v>
      </c>
      <c r="O66">
        <f t="shared" si="52"/>
        <v>24202.64</v>
      </c>
      <c r="P66">
        <f t="shared" si="53"/>
        <v>21681.94</v>
      </c>
      <c r="Q66">
        <f t="shared" si="54"/>
        <v>34.44</v>
      </c>
      <c r="R66">
        <f t="shared" si="55"/>
        <v>7.21</v>
      </c>
      <c r="S66">
        <f t="shared" si="56"/>
        <v>2486.26</v>
      </c>
      <c r="T66">
        <f t="shared" si="57"/>
        <v>0</v>
      </c>
      <c r="U66">
        <f t="shared" si="58"/>
        <v>13.93</v>
      </c>
      <c r="V66">
        <f t="shared" si="59"/>
        <v>0</v>
      </c>
      <c r="W66">
        <f t="shared" si="60"/>
        <v>0</v>
      </c>
      <c r="X66">
        <f t="shared" si="61"/>
        <v>1740.38</v>
      </c>
      <c r="Y66">
        <f t="shared" si="62"/>
        <v>248.63</v>
      </c>
      <c r="AA66">
        <v>26615678</v>
      </c>
      <c r="AB66">
        <f t="shared" si="63"/>
        <v>3457.52</v>
      </c>
      <c r="AC66">
        <f t="shared" si="64"/>
        <v>3097.42</v>
      </c>
      <c r="AD66">
        <f t="shared" si="65"/>
        <v>4.92</v>
      </c>
      <c r="AE66">
        <f t="shared" si="66"/>
        <v>1.03</v>
      </c>
      <c r="AF66">
        <f t="shared" si="67"/>
        <v>355.18</v>
      </c>
      <c r="AG66">
        <f t="shared" si="68"/>
        <v>0</v>
      </c>
      <c r="AH66">
        <f t="shared" si="69"/>
        <v>1.99</v>
      </c>
      <c r="AI66">
        <f t="shared" si="70"/>
        <v>0</v>
      </c>
      <c r="AJ66">
        <f t="shared" si="71"/>
        <v>0</v>
      </c>
      <c r="AK66">
        <v>3457.52</v>
      </c>
      <c r="AL66">
        <v>3097.42</v>
      </c>
      <c r="AM66">
        <v>4.92</v>
      </c>
      <c r="AN66">
        <v>1.03</v>
      </c>
      <c r="AO66">
        <v>355.18</v>
      </c>
      <c r="AP66">
        <v>0</v>
      </c>
      <c r="AQ66">
        <v>1.99</v>
      </c>
      <c r="AR66">
        <v>0</v>
      </c>
      <c r="AS66">
        <v>0</v>
      </c>
      <c r="AT66">
        <v>70</v>
      </c>
      <c r="AU66">
        <v>10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1</v>
      </c>
      <c r="BH66">
        <v>0</v>
      </c>
      <c r="BI66">
        <v>4</v>
      </c>
      <c r="BJ66" t="s">
        <v>145</v>
      </c>
      <c r="BM66">
        <v>0</v>
      </c>
      <c r="BN66">
        <v>0</v>
      </c>
      <c r="BP66">
        <v>0</v>
      </c>
      <c r="BQ66">
        <v>1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70</v>
      </c>
      <c r="CA66">
        <v>10</v>
      </c>
      <c r="CF66">
        <v>0</v>
      </c>
      <c r="CG66">
        <v>0</v>
      </c>
      <c r="CM66">
        <v>0</v>
      </c>
      <c r="CO66">
        <v>0</v>
      </c>
      <c r="CP66">
        <f t="shared" si="72"/>
        <v>24202.64</v>
      </c>
      <c r="CQ66">
        <f t="shared" si="73"/>
        <v>3097.42</v>
      </c>
      <c r="CR66">
        <f t="shared" si="74"/>
        <v>4.92</v>
      </c>
      <c r="CS66">
        <f t="shared" si="75"/>
        <v>1.03</v>
      </c>
      <c r="CT66">
        <f t="shared" si="76"/>
        <v>355.18</v>
      </c>
      <c r="CU66">
        <f t="shared" si="77"/>
        <v>0</v>
      </c>
      <c r="CV66">
        <f t="shared" si="78"/>
        <v>1.99</v>
      </c>
      <c r="CW66">
        <f t="shared" si="79"/>
        <v>0</v>
      </c>
      <c r="CX66">
        <f t="shared" si="80"/>
        <v>0</v>
      </c>
      <c r="CY66">
        <f t="shared" si="81"/>
        <v>1740.382</v>
      </c>
      <c r="CZ66">
        <f t="shared" si="82"/>
        <v>248.62600000000003</v>
      </c>
      <c r="DN66">
        <v>0</v>
      </c>
      <c r="DO66">
        <v>0</v>
      </c>
      <c r="DP66">
        <v>1</v>
      </c>
      <c r="DQ66">
        <v>1</v>
      </c>
      <c r="DU66">
        <v>1013</v>
      </c>
      <c r="DV66" t="s">
        <v>17</v>
      </c>
      <c r="DW66" t="s">
        <v>17</v>
      </c>
      <c r="DX66">
        <v>1</v>
      </c>
      <c r="EE66">
        <v>25674155</v>
      </c>
      <c r="EF66">
        <v>1</v>
      </c>
      <c r="EG66" t="s">
        <v>19</v>
      </c>
      <c r="EH66">
        <v>0</v>
      </c>
      <c r="EJ66">
        <v>4</v>
      </c>
      <c r="EK66">
        <v>0</v>
      </c>
      <c r="EL66" t="s">
        <v>20</v>
      </c>
      <c r="EM66" t="s">
        <v>21</v>
      </c>
      <c r="EQ66">
        <v>0</v>
      </c>
      <c r="ER66">
        <v>3457.52</v>
      </c>
      <c r="ES66">
        <v>3097.42</v>
      </c>
      <c r="ET66">
        <v>4.92</v>
      </c>
      <c r="EU66">
        <v>1.03</v>
      </c>
      <c r="EV66">
        <v>355.18</v>
      </c>
      <c r="EW66">
        <v>1.99</v>
      </c>
      <c r="EX66">
        <v>0</v>
      </c>
      <c r="EY66">
        <v>0</v>
      </c>
      <c r="FQ66">
        <v>0</v>
      </c>
      <c r="FR66">
        <f t="shared" si="83"/>
        <v>0</v>
      </c>
      <c r="FS66">
        <v>0</v>
      </c>
      <c r="FX66">
        <v>70</v>
      </c>
      <c r="FY66">
        <v>10</v>
      </c>
      <c r="GD66">
        <v>0</v>
      </c>
      <c r="GF66">
        <v>-441958978</v>
      </c>
      <c r="GG66">
        <v>2</v>
      </c>
      <c r="GH66">
        <v>1</v>
      </c>
      <c r="GI66">
        <v>-2</v>
      </c>
      <c r="GJ66">
        <v>0</v>
      </c>
      <c r="GK66">
        <f>ROUND(R66*(R12)/100,2)</f>
        <v>7.79</v>
      </c>
      <c r="GL66">
        <f t="shared" si="84"/>
        <v>0</v>
      </c>
      <c r="GM66">
        <f t="shared" si="85"/>
        <v>26199.440000000002</v>
      </c>
      <c r="GN66">
        <f t="shared" si="86"/>
        <v>0</v>
      </c>
      <c r="GO66">
        <f t="shared" si="87"/>
        <v>0</v>
      </c>
      <c r="GP66">
        <f t="shared" si="88"/>
        <v>26199.44</v>
      </c>
      <c r="GR66">
        <v>0</v>
      </c>
    </row>
    <row r="67" spans="1:200" ht="12.75">
      <c r="A67">
        <v>18</v>
      </c>
      <c r="B67">
        <v>1</v>
      </c>
      <c r="C67">
        <v>93</v>
      </c>
      <c r="E67" t="s">
        <v>160</v>
      </c>
      <c r="F67" t="s">
        <v>151</v>
      </c>
      <c r="G67" t="s">
        <v>152</v>
      </c>
      <c r="H67" t="s">
        <v>140</v>
      </c>
      <c r="I67">
        <f>I66*J67</f>
        <v>49</v>
      </c>
      <c r="J67">
        <v>7</v>
      </c>
      <c r="O67">
        <f t="shared" si="52"/>
        <v>4823.56</v>
      </c>
      <c r="P67">
        <f t="shared" si="53"/>
        <v>4823.56</v>
      </c>
      <c r="Q67">
        <f t="shared" si="54"/>
        <v>0</v>
      </c>
      <c r="R67">
        <f t="shared" si="55"/>
        <v>0</v>
      </c>
      <c r="S67">
        <f t="shared" si="56"/>
        <v>0</v>
      </c>
      <c r="T67">
        <f t="shared" si="57"/>
        <v>0</v>
      </c>
      <c r="U67">
        <f t="shared" si="58"/>
        <v>0</v>
      </c>
      <c r="V67">
        <f t="shared" si="59"/>
        <v>0</v>
      </c>
      <c r="W67">
        <f t="shared" si="60"/>
        <v>0</v>
      </c>
      <c r="X67">
        <f t="shared" si="61"/>
        <v>0</v>
      </c>
      <c r="Y67">
        <f t="shared" si="62"/>
        <v>0</v>
      </c>
      <c r="AA67">
        <v>26615678</v>
      </c>
      <c r="AB67">
        <f t="shared" si="63"/>
        <v>98.44</v>
      </c>
      <c r="AC67">
        <f t="shared" si="64"/>
        <v>98.44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98.44</v>
      </c>
      <c r="AL67">
        <v>98.44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70</v>
      </c>
      <c r="AU67">
        <v>10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4</v>
      </c>
      <c r="BJ67" t="s">
        <v>153</v>
      </c>
      <c r="BM67">
        <v>0</v>
      </c>
      <c r="BN67">
        <v>0</v>
      </c>
      <c r="BP67">
        <v>0</v>
      </c>
      <c r="BQ67">
        <v>1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70</v>
      </c>
      <c r="CA67">
        <v>10</v>
      </c>
      <c r="CF67">
        <v>0</v>
      </c>
      <c r="CG67">
        <v>0</v>
      </c>
      <c r="CM67">
        <v>0</v>
      </c>
      <c r="CO67">
        <v>0</v>
      </c>
      <c r="CP67">
        <f t="shared" si="72"/>
        <v>4823.56</v>
      </c>
      <c r="CQ67">
        <f t="shared" si="73"/>
        <v>98.44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140</v>
      </c>
      <c r="DW67" t="s">
        <v>140</v>
      </c>
      <c r="DX67">
        <v>1</v>
      </c>
      <c r="EE67">
        <v>25674155</v>
      </c>
      <c r="EF67">
        <v>1</v>
      </c>
      <c r="EG67" t="s">
        <v>19</v>
      </c>
      <c r="EH67">
        <v>0</v>
      </c>
      <c r="EJ67">
        <v>4</v>
      </c>
      <c r="EK67">
        <v>0</v>
      </c>
      <c r="EL67" t="s">
        <v>20</v>
      </c>
      <c r="EM67" t="s">
        <v>21</v>
      </c>
      <c r="EQ67">
        <v>0</v>
      </c>
      <c r="ER67">
        <v>98.44</v>
      </c>
      <c r="ES67">
        <v>98.44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3"/>
        <v>0</v>
      </c>
      <c r="FS67">
        <v>0</v>
      </c>
      <c r="FX67">
        <v>70</v>
      </c>
      <c r="FY67">
        <v>10</v>
      </c>
      <c r="GD67">
        <v>0</v>
      </c>
      <c r="GF67">
        <v>378778038</v>
      </c>
      <c r="GG67">
        <v>2</v>
      </c>
      <c r="GH67">
        <v>1</v>
      </c>
      <c r="GI67">
        <v>-2</v>
      </c>
      <c r="GJ67">
        <v>0</v>
      </c>
      <c r="GK67">
        <f>ROUND(R67*(R12)/100,2)</f>
        <v>0</v>
      </c>
      <c r="GL67">
        <f t="shared" si="84"/>
        <v>0</v>
      </c>
      <c r="GM67">
        <f t="shared" si="85"/>
        <v>4823.56</v>
      </c>
      <c r="GN67">
        <f t="shared" si="86"/>
        <v>0</v>
      </c>
      <c r="GO67">
        <f t="shared" si="87"/>
        <v>0</v>
      </c>
      <c r="GP67">
        <f t="shared" si="88"/>
        <v>4823.56</v>
      </c>
      <c r="GR67">
        <v>0</v>
      </c>
    </row>
    <row r="68" spans="1:200" ht="12.75">
      <c r="A68">
        <v>17</v>
      </c>
      <c r="B68">
        <v>1</v>
      </c>
      <c r="C68">
        <f>ROW(SmtRes!A100)</f>
        <v>100</v>
      </c>
      <c r="D68">
        <f>ROW(EtalonRes!A104)</f>
        <v>104</v>
      </c>
      <c r="E68" t="s">
        <v>161</v>
      </c>
      <c r="F68" t="s">
        <v>162</v>
      </c>
      <c r="G68" t="s">
        <v>163</v>
      </c>
      <c r="H68" t="s">
        <v>17</v>
      </c>
      <c r="I68">
        <v>2</v>
      </c>
      <c r="J68">
        <v>0</v>
      </c>
      <c r="O68">
        <f t="shared" si="52"/>
        <v>9228.7</v>
      </c>
      <c r="P68">
        <f t="shared" si="53"/>
        <v>8201.52</v>
      </c>
      <c r="Q68">
        <f t="shared" si="54"/>
        <v>9.84</v>
      </c>
      <c r="R68">
        <f t="shared" si="55"/>
        <v>2.06</v>
      </c>
      <c r="S68">
        <f t="shared" si="56"/>
        <v>1017.34</v>
      </c>
      <c r="T68">
        <f t="shared" si="57"/>
        <v>0</v>
      </c>
      <c r="U68">
        <f t="shared" si="58"/>
        <v>5.7</v>
      </c>
      <c r="V68">
        <f t="shared" si="59"/>
        <v>0</v>
      </c>
      <c r="W68">
        <f t="shared" si="60"/>
        <v>0</v>
      </c>
      <c r="X68">
        <f t="shared" si="61"/>
        <v>712.14</v>
      </c>
      <c r="Y68">
        <f t="shared" si="62"/>
        <v>101.73</v>
      </c>
      <c r="AA68">
        <v>26615678</v>
      </c>
      <c r="AB68">
        <f t="shared" si="63"/>
        <v>4614.35</v>
      </c>
      <c r="AC68">
        <f t="shared" si="64"/>
        <v>4100.76</v>
      </c>
      <c r="AD68">
        <f t="shared" si="65"/>
        <v>4.92</v>
      </c>
      <c r="AE68">
        <f t="shared" si="66"/>
        <v>1.03</v>
      </c>
      <c r="AF68">
        <f t="shared" si="67"/>
        <v>508.67</v>
      </c>
      <c r="AG68">
        <f t="shared" si="68"/>
        <v>0</v>
      </c>
      <c r="AH68">
        <f t="shared" si="69"/>
        <v>2.85</v>
      </c>
      <c r="AI68">
        <f t="shared" si="70"/>
        <v>0</v>
      </c>
      <c r="AJ68">
        <f t="shared" si="71"/>
        <v>0</v>
      </c>
      <c r="AK68">
        <v>4614.35</v>
      </c>
      <c r="AL68">
        <v>4100.76</v>
      </c>
      <c r="AM68">
        <v>4.92</v>
      </c>
      <c r="AN68">
        <v>1.03</v>
      </c>
      <c r="AO68">
        <v>508.67</v>
      </c>
      <c r="AP68">
        <v>0</v>
      </c>
      <c r="AQ68">
        <v>2.85</v>
      </c>
      <c r="AR68">
        <v>0</v>
      </c>
      <c r="AS68">
        <v>0</v>
      </c>
      <c r="AT68">
        <v>70</v>
      </c>
      <c r="AU68">
        <v>10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1</v>
      </c>
      <c r="BH68">
        <v>0</v>
      </c>
      <c r="BI68">
        <v>4</v>
      </c>
      <c r="BJ68" t="s">
        <v>164</v>
      </c>
      <c r="BM68">
        <v>0</v>
      </c>
      <c r="BN68">
        <v>0</v>
      </c>
      <c r="BP68">
        <v>0</v>
      </c>
      <c r="BQ68">
        <v>1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70</v>
      </c>
      <c r="CA68">
        <v>10</v>
      </c>
      <c r="CF68">
        <v>0</v>
      </c>
      <c r="CG68">
        <v>0</v>
      </c>
      <c r="CM68">
        <v>0</v>
      </c>
      <c r="CO68">
        <v>0</v>
      </c>
      <c r="CP68">
        <f t="shared" si="72"/>
        <v>9228.7</v>
      </c>
      <c r="CQ68">
        <f t="shared" si="73"/>
        <v>4100.76</v>
      </c>
      <c r="CR68">
        <f t="shared" si="74"/>
        <v>4.92</v>
      </c>
      <c r="CS68">
        <f t="shared" si="75"/>
        <v>1.03</v>
      </c>
      <c r="CT68">
        <f t="shared" si="76"/>
        <v>508.67</v>
      </c>
      <c r="CU68">
        <f t="shared" si="77"/>
        <v>0</v>
      </c>
      <c r="CV68">
        <f t="shared" si="78"/>
        <v>2.85</v>
      </c>
      <c r="CW68">
        <f t="shared" si="79"/>
        <v>0</v>
      </c>
      <c r="CX68">
        <f t="shared" si="80"/>
        <v>0</v>
      </c>
      <c r="CY68">
        <f t="shared" si="81"/>
        <v>712.138</v>
      </c>
      <c r="CZ68">
        <f t="shared" si="82"/>
        <v>101.734</v>
      </c>
      <c r="DN68">
        <v>0</v>
      </c>
      <c r="DO68">
        <v>0</v>
      </c>
      <c r="DP68">
        <v>1</v>
      </c>
      <c r="DQ68">
        <v>1</v>
      </c>
      <c r="DU68">
        <v>1013</v>
      </c>
      <c r="DV68" t="s">
        <v>17</v>
      </c>
      <c r="DW68" t="s">
        <v>17</v>
      </c>
      <c r="DX68">
        <v>1</v>
      </c>
      <c r="EE68">
        <v>25674155</v>
      </c>
      <c r="EF68">
        <v>1</v>
      </c>
      <c r="EG68" t="s">
        <v>19</v>
      </c>
      <c r="EH68">
        <v>0</v>
      </c>
      <c r="EJ68">
        <v>4</v>
      </c>
      <c r="EK68">
        <v>0</v>
      </c>
      <c r="EL68" t="s">
        <v>20</v>
      </c>
      <c r="EM68" t="s">
        <v>21</v>
      </c>
      <c r="EQ68">
        <v>0</v>
      </c>
      <c r="ER68">
        <v>4614.35</v>
      </c>
      <c r="ES68">
        <v>4100.76</v>
      </c>
      <c r="ET68">
        <v>4.92</v>
      </c>
      <c r="EU68">
        <v>1.03</v>
      </c>
      <c r="EV68">
        <v>508.67</v>
      </c>
      <c r="EW68">
        <v>2.85</v>
      </c>
      <c r="EX68">
        <v>0</v>
      </c>
      <c r="EY68">
        <v>0</v>
      </c>
      <c r="FQ68">
        <v>0</v>
      </c>
      <c r="FR68">
        <f t="shared" si="83"/>
        <v>0</v>
      </c>
      <c r="FS68">
        <v>0</v>
      </c>
      <c r="FX68">
        <v>70</v>
      </c>
      <c r="FY68">
        <v>10</v>
      </c>
      <c r="GD68">
        <v>0</v>
      </c>
      <c r="GF68">
        <v>-1792414026</v>
      </c>
      <c r="GG68">
        <v>2</v>
      </c>
      <c r="GH68">
        <v>1</v>
      </c>
      <c r="GI68">
        <v>-2</v>
      </c>
      <c r="GJ68">
        <v>0</v>
      </c>
      <c r="GK68">
        <f>ROUND(R68*(R12)/100,2)</f>
        <v>2.22</v>
      </c>
      <c r="GL68">
        <f t="shared" si="84"/>
        <v>0</v>
      </c>
      <c r="GM68">
        <f t="shared" si="85"/>
        <v>10044.789999999999</v>
      </c>
      <c r="GN68">
        <f t="shared" si="86"/>
        <v>0</v>
      </c>
      <c r="GO68">
        <f t="shared" si="87"/>
        <v>0</v>
      </c>
      <c r="GP68">
        <f t="shared" si="88"/>
        <v>10044.79</v>
      </c>
      <c r="GR68">
        <v>0</v>
      </c>
    </row>
    <row r="69" spans="1:200" ht="12.75">
      <c r="A69">
        <v>18</v>
      </c>
      <c r="B69">
        <v>1</v>
      </c>
      <c r="C69">
        <v>99</v>
      </c>
      <c r="E69" t="s">
        <v>165</v>
      </c>
      <c r="F69" t="s">
        <v>151</v>
      </c>
      <c r="G69" t="s">
        <v>152</v>
      </c>
      <c r="H69" t="s">
        <v>140</v>
      </c>
      <c r="I69">
        <f>I68*J69</f>
        <v>14</v>
      </c>
      <c r="J69">
        <v>7</v>
      </c>
      <c r="O69">
        <f t="shared" si="52"/>
        <v>1378.16</v>
      </c>
      <c r="P69">
        <f t="shared" si="53"/>
        <v>1378.16</v>
      </c>
      <c r="Q69">
        <f t="shared" si="54"/>
        <v>0</v>
      </c>
      <c r="R69">
        <f t="shared" si="55"/>
        <v>0</v>
      </c>
      <c r="S69">
        <f t="shared" si="56"/>
        <v>0</v>
      </c>
      <c r="T69">
        <f t="shared" si="57"/>
        <v>0</v>
      </c>
      <c r="U69">
        <f t="shared" si="58"/>
        <v>0</v>
      </c>
      <c r="V69">
        <f t="shared" si="59"/>
        <v>0</v>
      </c>
      <c r="W69">
        <f t="shared" si="60"/>
        <v>0</v>
      </c>
      <c r="X69">
        <f t="shared" si="61"/>
        <v>0</v>
      </c>
      <c r="Y69">
        <f t="shared" si="62"/>
        <v>0</v>
      </c>
      <c r="AA69">
        <v>26615678</v>
      </c>
      <c r="AB69">
        <f t="shared" si="63"/>
        <v>98.44</v>
      </c>
      <c r="AC69">
        <f t="shared" si="64"/>
        <v>98.44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98.44</v>
      </c>
      <c r="AL69">
        <v>98.44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70</v>
      </c>
      <c r="AU69">
        <v>10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1</v>
      </c>
      <c r="BH69">
        <v>3</v>
      </c>
      <c r="BI69">
        <v>4</v>
      </c>
      <c r="BJ69" t="s">
        <v>153</v>
      </c>
      <c r="BM69">
        <v>0</v>
      </c>
      <c r="BN69">
        <v>0</v>
      </c>
      <c r="BP69">
        <v>0</v>
      </c>
      <c r="BQ69">
        <v>1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70</v>
      </c>
      <c r="CA69">
        <v>10</v>
      </c>
      <c r="CF69">
        <v>0</v>
      </c>
      <c r="CG69">
        <v>0</v>
      </c>
      <c r="CM69">
        <v>0</v>
      </c>
      <c r="CO69">
        <v>0</v>
      </c>
      <c r="CP69">
        <f t="shared" si="72"/>
        <v>1378.16</v>
      </c>
      <c r="CQ69">
        <f t="shared" si="73"/>
        <v>98.44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140</v>
      </c>
      <c r="DW69" t="s">
        <v>140</v>
      </c>
      <c r="DX69">
        <v>1</v>
      </c>
      <c r="EE69">
        <v>25674155</v>
      </c>
      <c r="EF69">
        <v>1</v>
      </c>
      <c r="EG69" t="s">
        <v>19</v>
      </c>
      <c r="EH69">
        <v>0</v>
      </c>
      <c r="EJ69">
        <v>4</v>
      </c>
      <c r="EK69">
        <v>0</v>
      </c>
      <c r="EL69" t="s">
        <v>20</v>
      </c>
      <c r="EM69" t="s">
        <v>21</v>
      </c>
      <c r="EQ69">
        <v>0</v>
      </c>
      <c r="ER69">
        <v>98.44</v>
      </c>
      <c r="ES69">
        <v>98.44</v>
      </c>
      <c r="ET69">
        <v>0</v>
      </c>
      <c r="EU69">
        <v>0</v>
      </c>
      <c r="EV69">
        <v>0</v>
      </c>
      <c r="EW69">
        <v>0</v>
      </c>
      <c r="EX69">
        <v>0</v>
      </c>
      <c r="FQ69">
        <v>0</v>
      </c>
      <c r="FR69">
        <f t="shared" si="83"/>
        <v>0</v>
      </c>
      <c r="FS69">
        <v>0</v>
      </c>
      <c r="FX69">
        <v>70</v>
      </c>
      <c r="FY69">
        <v>10</v>
      </c>
      <c r="GD69">
        <v>0</v>
      </c>
      <c r="GF69">
        <v>378778038</v>
      </c>
      <c r="GG69">
        <v>2</v>
      </c>
      <c r="GH69">
        <v>1</v>
      </c>
      <c r="GI69">
        <v>-2</v>
      </c>
      <c r="GJ69">
        <v>0</v>
      </c>
      <c r="GK69">
        <f>ROUND(R69*(R12)/100,2)</f>
        <v>0</v>
      </c>
      <c r="GL69">
        <f t="shared" si="84"/>
        <v>0</v>
      </c>
      <c r="GM69">
        <f t="shared" si="85"/>
        <v>1378.16</v>
      </c>
      <c r="GN69">
        <f t="shared" si="86"/>
        <v>0</v>
      </c>
      <c r="GO69">
        <f t="shared" si="87"/>
        <v>0</v>
      </c>
      <c r="GP69">
        <f t="shared" si="88"/>
        <v>1378.16</v>
      </c>
      <c r="GR69">
        <v>0</v>
      </c>
    </row>
    <row r="70" spans="1:200" ht="12.75">
      <c r="A70">
        <v>17</v>
      </c>
      <c r="B70">
        <v>1</v>
      </c>
      <c r="C70">
        <f>ROW(SmtRes!A106)</f>
        <v>106</v>
      </c>
      <c r="D70">
        <f>ROW(EtalonRes!A110)</f>
        <v>110</v>
      </c>
      <c r="E70" t="s">
        <v>166</v>
      </c>
      <c r="F70" t="s">
        <v>167</v>
      </c>
      <c r="G70" t="s">
        <v>168</v>
      </c>
      <c r="H70" t="s">
        <v>17</v>
      </c>
      <c r="I70">
        <v>3</v>
      </c>
      <c r="J70">
        <v>0</v>
      </c>
      <c r="O70">
        <f t="shared" si="52"/>
        <v>15478.89</v>
      </c>
      <c r="P70">
        <f t="shared" si="53"/>
        <v>13549.26</v>
      </c>
      <c r="Q70">
        <f t="shared" si="54"/>
        <v>14.76</v>
      </c>
      <c r="R70">
        <f t="shared" si="55"/>
        <v>3.09</v>
      </c>
      <c r="S70">
        <f t="shared" si="56"/>
        <v>1914.87</v>
      </c>
      <c r="T70">
        <f t="shared" si="57"/>
        <v>0</v>
      </c>
      <c r="U70">
        <f t="shared" si="58"/>
        <v>10.5</v>
      </c>
      <c r="V70">
        <f t="shared" si="59"/>
        <v>0</v>
      </c>
      <c r="W70">
        <f t="shared" si="60"/>
        <v>0</v>
      </c>
      <c r="X70">
        <f t="shared" si="61"/>
        <v>1340.41</v>
      </c>
      <c r="Y70">
        <f t="shared" si="62"/>
        <v>191.49</v>
      </c>
      <c r="AA70">
        <v>26615678</v>
      </c>
      <c r="AB70">
        <f t="shared" si="63"/>
        <v>5159.63</v>
      </c>
      <c r="AC70">
        <f t="shared" si="64"/>
        <v>4516.42</v>
      </c>
      <c r="AD70">
        <f t="shared" si="65"/>
        <v>4.92</v>
      </c>
      <c r="AE70">
        <f t="shared" si="66"/>
        <v>1.03</v>
      </c>
      <c r="AF70">
        <f t="shared" si="67"/>
        <v>638.29</v>
      </c>
      <c r="AG70">
        <f t="shared" si="68"/>
        <v>0</v>
      </c>
      <c r="AH70">
        <f t="shared" si="69"/>
        <v>3.5</v>
      </c>
      <c r="AI70">
        <f t="shared" si="70"/>
        <v>0</v>
      </c>
      <c r="AJ70">
        <f t="shared" si="71"/>
        <v>0</v>
      </c>
      <c r="AK70">
        <v>5159.63</v>
      </c>
      <c r="AL70">
        <v>4516.42</v>
      </c>
      <c r="AM70">
        <v>4.92</v>
      </c>
      <c r="AN70">
        <v>1.03</v>
      </c>
      <c r="AO70">
        <v>638.29</v>
      </c>
      <c r="AP70">
        <v>0</v>
      </c>
      <c r="AQ70">
        <v>3.5</v>
      </c>
      <c r="AR70">
        <v>0</v>
      </c>
      <c r="AS70">
        <v>0</v>
      </c>
      <c r="AT70">
        <v>70</v>
      </c>
      <c r="AU70">
        <v>10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</v>
      </c>
      <c r="BH70">
        <v>0</v>
      </c>
      <c r="BI70">
        <v>4</v>
      </c>
      <c r="BJ70" t="s">
        <v>169</v>
      </c>
      <c r="BM70">
        <v>0</v>
      </c>
      <c r="BN70">
        <v>0</v>
      </c>
      <c r="BP70">
        <v>0</v>
      </c>
      <c r="BQ70">
        <v>1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70</v>
      </c>
      <c r="CA70">
        <v>10</v>
      </c>
      <c r="CF70">
        <v>0</v>
      </c>
      <c r="CG70">
        <v>0</v>
      </c>
      <c r="CM70">
        <v>0</v>
      </c>
      <c r="CO70">
        <v>0</v>
      </c>
      <c r="CP70">
        <f t="shared" si="72"/>
        <v>15478.89</v>
      </c>
      <c r="CQ70">
        <f t="shared" si="73"/>
        <v>4516.42</v>
      </c>
      <c r="CR70">
        <f t="shared" si="74"/>
        <v>4.92</v>
      </c>
      <c r="CS70">
        <f t="shared" si="75"/>
        <v>1.03</v>
      </c>
      <c r="CT70">
        <f t="shared" si="76"/>
        <v>638.29</v>
      </c>
      <c r="CU70">
        <f t="shared" si="77"/>
        <v>0</v>
      </c>
      <c r="CV70">
        <f t="shared" si="78"/>
        <v>3.5</v>
      </c>
      <c r="CW70">
        <f t="shared" si="79"/>
        <v>0</v>
      </c>
      <c r="CX70">
        <f t="shared" si="80"/>
        <v>0</v>
      </c>
      <c r="CY70">
        <f t="shared" si="81"/>
        <v>1340.4089999999999</v>
      </c>
      <c r="CZ70">
        <f t="shared" si="82"/>
        <v>191.48699999999997</v>
      </c>
      <c r="DN70">
        <v>0</v>
      </c>
      <c r="DO70">
        <v>0</v>
      </c>
      <c r="DP70">
        <v>1</v>
      </c>
      <c r="DQ70">
        <v>1</v>
      </c>
      <c r="DU70">
        <v>1013</v>
      </c>
      <c r="DV70" t="s">
        <v>17</v>
      </c>
      <c r="DW70" t="s">
        <v>17</v>
      </c>
      <c r="DX70">
        <v>1</v>
      </c>
      <c r="EE70">
        <v>25674155</v>
      </c>
      <c r="EF70">
        <v>1</v>
      </c>
      <c r="EG70" t="s">
        <v>19</v>
      </c>
      <c r="EH70">
        <v>0</v>
      </c>
      <c r="EJ70">
        <v>4</v>
      </c>
      <c r="EK70">
        <v>0</v>
      </c>
      <c r="EL70" t="s">
        <v>20</v>
      </c>
      <c r="EM70" t="s">
        <v>21</v>
      </c>
      <c r="EQ70">
        <v>0</v>
      </c>
      <c r="ER70">
        <v>5159.63</v>
      </c>
      <c r="ES70">
        <v>4516.42</v>
      </c>
      <c r="ET70">
        <v>4.92</v>
      </c>
      <c r="EU70">
        <v>1.03</v>
      </c>
      <c r="EV70">
        <v>638.29</v>
      </c>
      <c r="EW70">
        <v>3.5</v>
      </c>
      <c r="EX70">
        <v>0</v>
      </c>
      <c r="EY70">
        <v>0</v>
      </c>
      <c r="FQ70">
        <v>0</v>
      </c>
      <c r="FR70">
        <f t="shared" si="83"/>
        <v>0</v>
      </c>
      <c r="FS70">
        <v>0</v>
      </c>
      <c r="FX70">
        <v>70</v>
      </c>
      <c r="FY70">
        <v>10</v>
      </c>
      <c r="GD70">
        <v>0</v>
      </c>
      <c r="GF70">
        <v>542649172</v>
      </c>
      <c r="GG70">
        <v>2</v>
      </c>
      <c r="GH70">
        <v>1</v>
      </c>
      <c r="GI70">
        <v>-2</v>
      </c>
      <c r="GJ70">
        <v>0</v>
      </c>
      <c r="GK70">
        <f>ROUND(R70*(R12)/100,2)</f>
        <v>3.34</v>
      </c>
      <c r="GL70">
        <f t="shared" si="84"/>
        <v>0</v>
      </c>
      <c r="GM70">
        <f t="shared" si="85"/>
        <v>17014.13</v>
      </c>
      <c r="GN70">
        <f t="shared" si="86"/>
        <v>0</v>
      </c>
      <c r="GO70">
        <f t="shared" si="87"/>
        <v>0</v>
      </c>
      <c r="GP70">
        <f t="shared" si="88"/>
        <v>17014.13</v>
      </c>
      <c r="GR70">
        <v>0</v>
      </c>
    </row>
    <row r="71" spans="1:200" ht="12.75">
      <c r="A71">
        <v>18</v>
      </c>
      <c r="B71">
        <v>1</v>
      </c>
      <c r="C71">
        <v>105</v>
      </c>
      <c r="E71" t="s">
        <v>170</v>
      </c>
      <c r="F71" t="s">
        <v>151</v>
      </c>
      <c r="G71" t="s">
        <v>152</v>
      </c>
      <c r="H71" t="s">
        <v>140</v>
      </c>
      <c r="I71">
        <f>I70*J71</f>
        <v>21</v>
      </c>
      <c r="J71">
        <v>7</v>
      </c>
      <c r="O71">
        <f t="shared" si="52"/>
        <v>2067.24</v>
      </c>
      <c r="P71">
        <f t="shared" si="53"/>
        <v>2067.24</v>
      </c>
      <c r="Q71">
        <f t="shared" si="54"/>
        <v>0</v>
      </c>
      <c r="R71">
        <f t="shared" si="55"/>
        <v>0</v>
      </c>
      <c r="S71">
        <f t="shared" si="56"/>
        <v>0</v>
      </c>
      <c r="T71">
        <f t="shared" si="57"/>
        <v>0</v>
      </c>
      <c r="U71">
        <f t="shared" si="58"/>
        <v>0</v>
      </c>
      <c r="V71">
        <f t="shared" si="59"/>
        <v>0</v>
      </c>
      <c r="W71">
        <f t="shared" si="60"/>
        <v>0</v>
      </c>
      <c r="X71">
        <f t="shared" si="61"/>
        <v>0</v>
      </c>
      <c r="Y71">
        <f t="shared" si="62"/>
        <v>0</v>
      </c>
      <c r="AA71">
        <v>26615678</v>
      </c>
      <c r="AB71">
        <f t="shared" si="63"/>
        <v>98.44</v>
      </c>
      <c r="AC71">
        <f t="shared" si="64"/>
        <v>98.44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98.44</v>
      </c>
      <c r="AL71">
        <v>98.44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70</v>
      </c>
      <c r="AU71">
        <v>10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4</v>
      </c>
      <c r="BJ71" t="s">
        <v>153</v>
      </c>
      <c r="BM71">
        <v>0</v>
      </c>
      <c r="BN71">
        <v>0</v>
      </c>
      <c r="BP71">
        <v>0</v>
      </c>
      <c r="BQ71">
        <v>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70</v>
      </c>
      <c r="CA71">
        <v>10</v>
      </c>
      <c r="CF71">
        <v>0</v>
      </c>
      <c r="CG71">
        <v>0</v>
      </c>
      <c r="CM71">
        <v>0</v>
      </c>
      <c r="CO71">
        <v>0</v>
      </c>
      <c r="CP71">
        <f t="shared" si="72"/>
        <v>2067.24</v>
      </c>
      <c r="CQ71">
        <f t="shared" si="73"/>
        <v>98.44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140</v>
      </c>
      <c r="DW71" t="s">
        <v>140</v>
      </c>
      <c r="DX71">
        <v>1</v>
      </c>
      <c r="EE71">
        <v>25674155</v>
      </c>
      <c r="EF71">
        <v>1</v>
      </c>
      <c r="EG71" t="s">
        <v>19</v>
      </c>
      <c r="EH71">
        <v>0</v>
      </c>
      <c r="EJ71">
        <v>4</v>
      </c>
      <c r="EK71">
        <v>0</v>
      </c>
      <c r="EL71" t="s">
        <v>20</v>
      </c>
      <c r="EM71" t="s">
        <v>21</v>
      </c>
      <c r="EQ71">
        <v>0</v>
      </c>
      <c r="ER71">
        <v>98.44</v>
      </c>
      <c r="ES71">
        <v>98.44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3"/>
        <v>0</v>
      </c>
      <c r="FS71">
        <v>0</v>
      </c>
      <c r="FX71">
        <v>70</v>
      </c>
      <c r="FY71">
        <v>10</v>
      </c>
      <c r="GD71">
        <v>0</v>
      </c>
      <c r="GF71">
        <v>378778038</v>
      </c>
      <c r="GG71">
        <v>2</v>
      </c>
      <c r="GH71">
        <v>1</v>
      </c>
      <c r="GI71">
        <v>-2</v>
      </c>
      <c r="GJ71">
        <v>0</v>
      </c>
      <c r="GK71">
        <f>ROUND(R71*(R12)/100,2)</f>
        <v>0</v>
      </c>
      <c r="GL71">
        <f t="shared" si="84"/>
        <v>0</v>
      </c>
      <c r="GM71">
        <f t="shared" si="85"/>
        <v>2067.24</v>
      </c>
      <c r="GN71">
        <f t="shared" si="86"/>
        <v>0</v>
      </c>
      <c r="GO71">
        <f t="shared" si="87"/>
        <v>0</v>
      </c>
      <c r="GP71">
        <f t="shared" si="88"/>
        <v>2067.24</v>
      </c>
      <c r="GR71">
        <v>0</v>
      </c>
    </row>
    <row r="72" spans="1:200" ht="12.75">
      <c r="A72">
        <v>17</v>
      </c>
      <c r="B72">
        <v>1</v>
      </c>
      <c r="C72">
        <f>ROW(SmtRes!A112)</f>
        <v>112</v>
      </c>
      <c r="D72">
        <f>ROW(EtalonRes!A116)</f>
        <v>116</v>
      </c>
      <c r="E72" t="s">
        <v>171</v>
      </c>
      <c r="F72" t="s">
        <v>167</v>
      </c>
      <c r="G72" t="s">
        <v>172</v>
      </c>
      <c r="H72" t="s">
        <v>17</v>
      </c>
      <c r="I72">
        <v>10</v>
      </c>
      <c r="J72">
        <v>0</v>
      </c>
      <c r="O72">
        <f t="shared" si="52"/>
        <v>51596.3</v>
      </c>
      <c r="P72">
        <f t="shared" si="53"/>
        <v>45164.2</v>
      </c>
      <c r="Q72">
        <f t="shared" si="54"/>
        <v>49.2</v>
      </c>
      <c r="R72">
        <f t="shared" si="55"/>
        <v>10.3</v>
      </c>
      <c r="S72">
        <f t="shared" si="56"/>
        <v>6382.9</v>
      </c>
      <c r="T72">
        <f t="shared" si="57"/>
        <v>0</v>
      </c>
      <c r="U72">
        <f t="shared" si="58"/>
        <v>35</v>
      </c>
      <c r="V72">
        <f t="shared" si="59"/>
        <v>0</v>
      </c>
      <c r="W72">
        <f t="shared" si="60"/>
        <v>0</v>
      </c>
      <c r="X72">
        <f t="shared" si="61"/>
        <v>4468.03</v>
      </c>
      <c r="Y72">
        <f t="shared" si="62"/>
        <v>638.29</v>
      </c>
      <c r="AA72">
        <v>26615678</v>
      </c>
      <c r="AB72">
        <f t="shared" si="63"/>
        <v>5159.63</v>
      </c>
      <c r="AC72">
        <f t="shared" si="64"/>
        <v>4516.42</v>
      </c>
      <c r="AD72">
        <f t="shared" si="65"/>
        <v>4.92</v>
      </c>
      <c r="AE72">
        <f t="shared" si="66"/>
        <v>1.03</v>
      </c>
      <c r="AF72">
        <f t="shared" si="67"/>
        <v>638.29</v>
      </c>
      <c r="AG72">
        <f t="shared" si="68"/>
        <v>0</v>
      </c>
      <c r="AH72">
        <f t="shared" si="69"/>
        <v>3.5</v>
      </c>
      <c r="AI72">
        <f t="shared" si="70"/>
        <v>0</v>
      </c>
      <c r="AJ72">
        <f t="shared" si="71"/>
        <v>0</v>
      </c>
      <c r="AK72">
        <v>5159.63</v>
      </c>
      <c r="AL72">
        <v>4516.42</v>
      </c>
      <c r="AM72">
        <v>4.92</v>
      </c>
      <c r="AN72">
        <v>1.03</v>
      </c>
      <c r="AO72">
        <v>638.29</v>
      </c>
      <c r="AP72">
        <v>0</v>
      </c>
      <c r="AQ72">
        <v>3.5</v>
      </c>
      <c r="AR72">
        <v>0</v>
      </c>
      <c r="AS72">
        <v>0</v>
      </c>
      <c r="AT72">
        <v>70</v>
      </c>
      <c r="AU72">
        <v>10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1</v>
      </c>
      <c r="BH72">
        <v>0</v>
      </c>
      <c r="BI72">
        <v>4</v>
      </c>
      <c r="BJ72" t="s">
        <v>169</v>
      </c>
      <c r="BM72">
        <v>0</v>
      </c>
      <c r="BN72">
        <v>0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70</v>
      </c>
      <c r="CA72">
        <v>10</v>
      </c>
      <c r="CF72">
        <v>0</v>
      </c>
      <c r="CG72">
        <v>0</v>
      </c>
      <c r="CM72">
        <v>0</v>
      </c>
      <c r="CO72">
        <v>0</v>
      </c>
      <c r="CP72">
        <f t="shared" si="72"/>
        <v>51596.299999999996</v>
      </c>
      <c r="CQ72">
        <f t="shared" si="73"/>
        <v>4516.42</v>
      </c>
      <c r="CR72">
        <f t="shared" si="74"/>
        <v>4.92</v>
      </c>
      <c r="CS72">
        <f t="shared" si="75"/>
        <v>1.03</v>
      </c>
      <c r="CT72">
        <f t="shared" si="76"/>
        <v>638.29</v>
      </c>
      <c r="CU72">
        <f t="shared" si="77"/>
        <v>0</v>
      </c>
      <c r="CV72">
        <f t="shared" si="78"/>
        <v>3.5</v>
      </c>
      <c r="CW72">
        <f t="shared" si="79"/>
        <v>0</v>
      </c>
      <c r="CX72">
        <f t="shared" si="80"/>
        <v>0</v>
      </c>
      <c r="CY72">
        <f t="shared" si="81"/>
        <v>4468.03</v>
      </c>
      <c r="CZ72">
        <f t="shared" si="82"/>
        <v>638.29</v>
      </c>
      <c r="DN72">
        <v>0</v>
      </c>
      <c r="DO72">
        <v>0</v>
      </c>
      <c r="DP72">
        <v>1</v>
      </c>
      <c r="DQ72">
        <v>1</v>
      </c>
      <c r="DU72">
        <v>1013</v>
      </c>
      <c r="DV72" t="s">
        <v>17</v>
      </c>
      <c r="DW72" t="s">
        <v>17</v>
      </c>
      <c r="DX72">
        <v>1</v>
      </c>
      <c r="EE72">
        <v>25674155</v>
      </c>
      <c r="EF72">
        <v>1</v>
      </c>
      <c r="EG72" t="s">
        <v>19</v>
      </c>
      <c r="EH72">
        <v>0</v>
      </c>
      <c r="EJ72">
        <v>4</v>
      </c>
      <c r="EK72">
        <v>0</v>
      </c>
      <c r="EL72" t="s">
        <v>20</v>
      </c>
      <c r="EM72" t="s">
        <v>21</v>
      </c>
      <c r="EQ72">
        <v>0</v>
      </c>
      <c r="ER72">
        <v>5159.63</v>
      </c>
      <c r="ES72">
        <v>4516.42</v>
      </c>
      <c r="ET72">
        <v>4.92</v>
      </c>
      <c r="EU72">
        <v>1.03</v>
      </c>
      <c r="EV72">
        <v>638.29</v>
      </c>
      <c r="EW72">
        <v>3.5</v>
      </c>
      <c r="EX72">
        <v>0</v>
      </c>
      <c r="EY72">
        <v>0</v>
      </c>
      <c r="FQ72">
        <v>0</v>
      </c>
      <c r="FR72">
        <f t="shared" si="83"/>
        <v>0</v>
      </c>
      <c r="FS72">
        <v>0</v>
      </c>
      <c r="FX72">
        <v>70</v>
      </c>
      <c r="FY72">
        <v>10</v>
      </c>
      <c r="GD72">
        <v>0</v>
      </c>
      <c r="GF72">
        <v>-1959546658</v>
      </c>
      <c r="GG72">
        <v>2</v>
      </c>
      <c r="GH72">
        <v>1</v>
      </c>
      <c r="GI72">
        <v>-2</v>
      </c>
      <c r="GJ72">
        <v>0</v>
      </c>
      <c r="GK72">
        <f>ROUND(R72*(R12)/100,2)</f>
        <v>11.12</v>
      </c>
      <c r="GL72">
        <f t="shared" si="84"/>
        <v>0</v>
      </c>
      <c r="GM72">
        <f t="shared" si="85"/>
        <v>56713.740000000005</v>
      </c>
      <c r="GN72">
        <f t="shared" si="86"/>
        <v>0</v>
      </c>
      <c r="GO72">
        <f t="shared" si="87"/>
        <v>0</v>
      </c>
      <c r="GP72">
        <f t="shared" si="88"/>
        <v>56713.74</v>
      </c>
      <c r="GR72">
        <v>0</v>
      </c>
    </row>
    <row r="73" spans="1:200" ht="12.75">
      <c r="A73">
        <v>18</v>
      </c>
      <c r="B73">
        <v>1</v>
      </c>
      <c r="C73">
        <v>111</v>
      </c>
      <c r="E73" t="s">
        <v>173</v>
      </c>
      <c r="F73" t="s">
        <v>151</v>
      </c>
      <c r="G73" t="s">
        <v>152</v>
      </c>
      <c r="H73" t="s">
        <v>140</v>
      </c>
      <c r="I73">
        <f>I72*J73</f>
        <v>71</v>
      </c>
      <c r="J73">
        <v>7.1</v>
      </c>
      <c r="O73">
        <f t="shared" si="52"/>
        <v>6989.24</v>
      </c>
      <c r="P73">
        <f t="shared" si="53"/>
        <v>6989.24</v>
      </c>
      <c r="Q73">
        <f t="shared" si="54"/>
        <v>0</v>
      </c>
      <c r="R73">
        <f t="shared" si="55"/>
        <v>0</v>
      </c>
      <c r="S73">
        <f t="shared" si="56"/>
        <v>0</v>
      </c>
      <c r="T73">
        <f t="shared" si="57"/>
        <v>0</v>
      </c>
      <c r="U73">
        <f t="shared" si="58"/>
        <v>0</v>
      </c>
      <c r="V73">
        <f t="shared" si="59"/>
        <v>0</v>
      </c>
      <c r="W73">
        <f t="shared" si="60"/>
        <v>0</v>
      </c>
      <c r="X73">
        <f t="shared" si="61"/>
        <v>0</v>
      </c>
      <c r="Y73">
        <f t="shared" si="62"/>
        <v>0</v>
      </c>
      <c r="AA73">
        <v>26615678</v>
      </c>
      <c r="AB73">
        <f t="shared" si="63"/>
        <v>98.44</v>
      </c>
      <c r="AC73">
        <f t="shared" si="64"/>
        <v>98.44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98.44</v>
      </c>
      <c r="AL73">
        <v>98.44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70</v>
      </c>
      <c r="AU73">
        <v>10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1</v>
      </c>
      <c r="BH73">
        <v>3</v>
      </c>
      <c r="BI73">
        <v>4</v>
      </c>
      <c r="BJ73" t="s">
        <v>153</v>
      </c>
      <c r="BM73">
        <v>0</v>
      </c>
      <c r="BN73">
        <v>0</v>
      </c>
      <c r="BP73">
        <v>0</v>
      </c>
      <c r="BQ73">
        <v>1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70</v>
      </c>
      <c r="CA73">
        <v>10</v>
      </c>
      <c r="CF73">
        <v>0</v>
      </c>
      <c r="CG73">
        <v>0</v>
      </c>
      <c r="CM73">
        <v>0</v>
      </c>
      <c r="CO73">
        <v>0</v>
      </c>
      <c r="CP73">
        <f t="shared" si="72"/>
        <v>6989.24</v>
      </c>
      <c r="CQ73">
        <f t="shared" si="73"/>
        <v>98.44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140</v>
      </c>
      <c r="DW73" t="s">
        <v>140</v>
      </c>
      <c r="DX73">
        <v>1</v>
      </c>
      <c r="EE73">
        <v>25674155</v>
      </c>
      <c r="EF73">
        <v>1</v>
      </c>
      <c r="EG73" t="s">
        <v>19</v>
      </c>
      <c r="EH73">
        <v>0</v>
      </c>
      <c r="EJ73">
        <v>4</v>
      </c>
      <c r="EK73">
        <v>0</v>
      </c>
      <c r="EL73" t="s">
        <v>20</v>
      </c>
      <c r="EM73" t="s">
        <v>21</v>
      </c>
      <c r="EQ73">
        <v>0</v>
      </c>
      <c r="ER73">
        <v>98.44</v>
      </c>
      <c r="ES73">
        <v>98.44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X73">
        <v>70</v>
      </c>
      <c r="FY73">
        <v>10</v>
      </c>
      <c r="GD73">
        <v>0</v>
      </c>
      <c r="GF73">
        <v>378778038</v>
      </c>
      <c r="GG73">
        <v>2</v>
      </c>
      <c r="GH73">
        <v>1</v>
      </c>
      <c r="GI73">
        <v>-2</v>
      </c>
      <c r="GJ73">
        <v>0</v>
      </c>
      <c r="GK73">
        <f>ROUND(R73*(R12)/100,2)</f>
        <v>0</v>
      </c>
      <c r="GL73">
        <f t="shared" si="84"/>
        <v>0</v>
      </c>
      <c r="GM73">
        <f t="shared" si="85"/>
        <v>6989.24</v>
      </c>
      <c r="GN73">
        <f t="shared" si="86"/>
        <v>0</v>
      </c>
      <c r="GO73">
        <f t="shared" si="87"/>
        <v>0</v>
      </c>
      <c r="GP73">
        <f t="shared" si="88"/>
        <v>6989.24</v>
      </c>
      <c r="GR73">
        <v>0</v>
      </c>
    </row>
    <row r="74" spans="1:200" ht="12.75">
      <c r="A74">
        <v>17</v>
      </c>
      <c r="B74">
        <v>1</v>
      </c>
      <c r="C74">
        <f>ROW(SmtRes!A118)</f>
        <v>118</v>
      </c>
      <c r="D74">
        <f>ROW(EtalonRes!A122)</f>
        <v>122</v>
      </c>
      <c r="E74" t="s">
        <v>174</v>
      </c>
      <c r="F74" t="s">
        <v>167</v>
      </c>
      <c r="G74" t="s">
        <v>175</v>
      </c>
      <c r="H74" t="s">
        <v>17</v>
      </c>
      <c r="I74">
        <v>6</v>
      </c>
      <c r="J74">
        <v>0</v>
      </c>
      <c r="O74">
        <f t="shared" si="52"/>
        <v>30957.78</v>
      </c>
      <c r="P74">
        <f t="shared" si="53"/>
        <v>27098.52</v>
      </c>
      <c r="Q74">
        <f t="shared" si="54"/>
        <v>29.52</v>
      </c>
      <c r="R74">
        <f t="shared" si="55"/>
        <v>6.18</v>
      </c>
      <c r="S74">
        <f t="shared" si="56"/>
        <v>3829.74</v>
      </c>
      <c r="T74">
        <f t="shared" si="57"/>
        <v>0</v>
      </c>
      <c r="U74">
        <f t="shared" si="58"/>
        <v>21</v>
      </c>
      <c r="V74">
        <f t="shared" si="59"/>
        <v>0</v>
      </c>
      <c r="W74">
        <f t="shared" si="60"/>
        <v>0</v>
      </c>
      <c r="X74">
        <f t="shared" si="61"/>
        <v>2680.82</v>
      </c>
      <c r="Y74">
        <f t="shared" si="62"/>
        <v>382.97</v>
      </c>
      <c r="AA74">
        <v>26615678</v>
      </c>
      <c r="AB74">
        <f t="shared" si="63"/>
        <v>5159.63</v>
      </c>
      <c r="AC74">
        <f t="shared" si="64"/>
        <v>4516.42</v>
      </c>
      <c r="AD74">
        <f t="shared" si="65"/>
        <v>4.92</v>
      </c>
      <c r="AE74">
        <f t="shared" si="66"/>
        <v>1.03</v>
      </c>
      <c r="AF74">
        <f t="shared" si="67"/>
        <v>638.29</v>
      </c>
      <c r="AG74">
        <f t="shared" si="68"/>
        <v>0</v>
      </c>
      <c r="AH74">
        <f t="shared" si="69"/>
        <v>3.5</v>
      </c>
      <c r="AI74">
        <f t="shared" si="70"/>
        <v>0</v>
      </c>
      <c r="AJ74">
        <f t="shared" si="71"/>
        <v>0</v>
      </c>
      <c r="AK74">
        <v>5159.63</v>
      </c>
      <c r="AL74">
        <v>4516.42</v>
      </c>
      <c r="AM74">
        <v>4.92</v>
      </c>
      <c r="AN74">
        <v>1.03</v>
      </c>
      <c r="AO74">
        <v>638.29</v>
      </c>
      <c r="AP74">
        <v>0</v>
      </c>
      <c r="AQ74">
        <v>3.5</v>
      </c>
      <c r="AR74">
        <v>0</v>
      </c>
      <c r="AS74">
        <v>0</v>
      </c>
      <c r="AT74">
        <v>70</v>
      </c>
      <c r="AU74">
        <v>10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H74">
        <v>0</v>
      </c>
      <c r="BI74">
        <v>4</v>
      </c>
      <c r="BJ74" t="s">
        <v>169</v>
      </c>
      <c r="BM74">
        <v>0</v>
      </c>
      <c r="BN74">
        <v>0</v>
      </c>
      <c r="BP74">
        <v>0</v>
      </c>
      <c r="BQ74">
        <v>1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70</v>
      </c>
      <c r="CA74">
        <v>10</v>
      </c>
      <c r="CF74">
        <v>0</v>
      </c>
      <c r="CG74">
        <v>0</v>
      </c>
      <c r="CM74">
        <v>0</v>
      </c>
      <c r="CO74">
        <v>0</v>
      </c>
      <c r="CP74">
        <f t="shared" si="72"/>
        <v>30957.78</v>
      </c>
      <c r="CQ74">
        <f t="shared" si="73"/>
        <v>4516.42</v>
      </c>
      <c r="CR74">
        <f t="shared" si="74"/>
        <v>4.92</v>
      </c>
      <c r="CS74">
        <f t="shared" si="75"/>
        <v>1.03</v>
      </c>
      <c r="CT74">
        <f t="shared" si="76"/>
        <v>638.29</v>
      </c>
      <c r="CU74">
        <f t="shared" si="77"/>
        <v>0</v>
      </c>
      <c r="CV74">
        <f t="shared" si="78"/>
        <v>3.5</v>
      </c>
      <c r="CW74">
        <f t="shared" si="79"/>
        <v>0</v>
      </c>
      <c r="CX74">
        <f t="shared" si="80"/>
        <v>0</v>
      </c>
      <c r="CY74">
        <f t="shared" si="81"/>
        <v>2680.8179999999998</v>
      </c>
      <c r="CZ74">
        <f t="shared" si="82"/>
        <v>382.97399999999993</v>
      </c>
      <c r="DN74">
        <v>0</v>
      </c>
      <c r="DO74">
        <v>0</v>
      </c>
      <c r="DP74">
        <v>1</v>
      </c>
      <c r="DQ74">
        <v>1</v>
      </c>
      <c r="DU74">
        <v>1013</v>
      </c>
      <c r="DV74" t="s">
        <v>17</v>
      </c>
      <c r="DW74" t="s">
        <v>17</v>
      </c>
      <c r="DX74">
        <v>1</v>
      </c>
      <c r="EE74">
        <v>25674155</v>
      </c>
      <c r="EF74">
        <v>1</v>
      </c>
      <c r="EG74" t="s">
        <v>19</v>
      </c>
      <c r="EH74">
        <v>0</v>
      </c>
      <c r="EJ74">
        <v>4</v>
      </c>
      <c r="EK74">
        <v>0</v>
      </c>
      <c r="EL74" t="s">
        <v>20</v>
      </c>
      <c r="EM74" t="s">
        <v>21</v>
      </c>
      <c r="EQ74">
        <v>0</v>
      </c>
      <c r="ER74">
        <v>5159.63</v>
      </c>
      <c r="ES74">
        <v>4516.42</v>
      </c>
      <c r="ET74">
        <v>4.92</v>
      </c>
      <c r="EU74">
        <v>1.03</v>
      </c>
      <c r="EV74">
        <v>638.29</v>
      </c>
      <c r="EW74">
        <v>3.5</v>
      </c>
      <c r="EX74">
        <v>0</v>
      </c>
      <c r="EY74">
        <v>0</v>
      </c>
      <c r="FQ74">
        <v>0</v>
      </c>
      <c r="FR74">
        <f t="shared" si="83"/>
        <v>0</v>
      </c>
      <c r="FS74">
        <v>0</v>
      </c>
      <c r="FX74">
        <v>70</v>
      </c>
      <c r="FY74">
        <v>10</v>
      </c>
      <c r="GD74">
        <v>0</v>
      </c>
      <c r="GF74">
        <v>-971349650</v>
      </c>
      <c r="GG74">
        <v>2</v>
      </c>
      <c r="GH74">
        <v>1</v>
      </c>
      <c r="GI74">
        <v>-2</v>
      </c>
      <c r="GJ74">
        <v>0</v>
      </c>
      <c r="GK74">
        <f>ROUND(R74*(R12)/100,2)</f>
        <v>6.67</v>
      </c>
      <c r="GL74">
        <f t="shared" si="84"/>
        <v>0</v>
      </c>
      <c r="GM74">
        <f t="shared" si="85"/>
        <v>34028.24</v>
      </c>
      <c r="GN74">
        <f t="shared" si="86"/>
        <v>0</v>
      </c>
      <c r="GO74">
        <f t="shared" si="87"/>
        <v>0</v>
      </c>
      <c r="GP74">
        <f t="shared" si="88"/>
        <v>34028.24</v>
      </c>
      <c r="GR74">
        <v>0</v>
      </c>
    </row>
    <row r="75" spans="1:200" ht="12.75">
      <c r="A75">
        <v>18</v>
      </c>
      <c r="B75">
        <v>1</v>
      </c>
      <c r="C75">
        <v>117</v>
      </c>
      <c r="E75" t="s">
        <v>176</v>
      </c>
      <c r="F75" t="s">
        <v>151</v>
      </c>
      <c r="G75" t="s">
        <v>152</v>
      </c>
      <c r="H75" t="s">
        <v>140</v>
      </c>
      <c r="I75">
        <f>I74*J75</f>
        <v>42.6</v>
      </c>
      <c r="J75">
        <v>7.1000000000000005</v>
      </c>
      <c r="O75">
        <f t="shared" si="52"/>
        <v>4193.54</v>
      </c>
      <c r="P75">
        <f t="shared" si="53"/>
        <v>4193.54</v>
      </c>
      <c r="Q75">
        <f t="shared" si="54"/>
        <v>0</v>
      </c>
      <c r="R75">
        <f t="shared" si="55"/>
        <v>0</v>
      </c>
      <c r="S75">
        <f t="shared" si="56"/>
        <v>0</v>
      </c>
      <c r="T75">
        <f t="shared" si="57"/>
        <v>0</v>
      </c>
      <c r="U75">
        <f t="shared" si="58"/>
        <v>0</v>
      </c>
      <c r="V75">
        <f t="shared" si="59"/>
        <v>0</v>
      </c>
      <c r="W75">
        <f t="shared" si="60"/>
        <v>0</v>
      </c>
      <c r="X75">
        <f t="shared" si="61"/>
        <v>0</v>
      </c>
      <c r="Y75">
        <f t="shared" si="62"/>
        <v>0</v>
      </c>
      <c r="AA75">
        <v>26615678</v>
      </c>
      <c r="AB75">
        <f t="shared" si="63"/>
        <v>98.44</v>
      </c>
      <c r="AC75">
        <f t="shared" si="64"/>
        <v>98.44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98.44</v>
      </c>
      <c r="AL75">
        <v>98.44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70</v>
      </c>
      <c r="AU75">
        <v>10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1</v>
      </c>
      <c r="BH75">
        <v>3</v>
      </c>
      <c r="BI75">
        <v>4</v>
      </c>
      <c r="BJ75" t="s">
        <v>153</v>
      </c>
      <c r="BM75">
        <v>0</v>
      </c>
      <c r="BN75">
        <v>0</v>
      </c>
      <c r="BP75">
        <v>0</v>
      </c>
      <c r="BQ75">
        <v>1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70</v>
      </c>
      <c r="CA75">
        <v>10</v>
      </c>
      <c r="CF75">
        <v>0</v>
      </c>
      <c r="CG75">
        <v>0</v>
      </c>
      <c r="CM75">
        <v>0</v>
      </c>
      <c r="CO75">
        <v>0</v>
      </c>
      <c r="CP75">
        <f t="shared" si="72"/>
        <v>4193.54</v>
      </c>
      <c r="CQ75">
        <f t="shared" si="73"/>
        <v>98.44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140</v>
      </c>
      <c r="DW75" t="s">
        <v>140</v>
      </c>
      <c r="DX75">
        <v>1</v>
      </c>
      <c r="EE75">
        <v>25674155</v>
      </c>
      <c r="EF75">
        <v>1</v>
      </c>
      <c r="EG75" t="s">
        <v>19</v>
      </c>
      <c r="EH75">
        <v>0</v>
      </c>
      <c r="EJ75">
        <v>4</v>
      </c>
      <c r="EK75">
        <v>0</v>
      </c>
      <c r="EL75" t="s">
        <v>20</v>
      </c>
      <c r="EM75" t="s">
        <v>21</v>
      </c>
      <c r="EQ75">
        <v>0</v>
      </c>
      <c r="ER75">
        <v>98.44</v>
      </c>
      <c r="ES75">
        <v>98.44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X75">
        <v>70</v>
      </c>
      <c r="FY75">
        <v>10</v>
      </c>
      <c r="GD75">
        <v>0</v>
      </c>
      <c r="GF75">
        <v>378778038</v>
      </c>
      <c r="GG75">
        <v>2</v>
      </c>
      <c r="GH75">
        <v>1</v>
      </c>
      <c r="GI75">
        <v>-2</v>
      </c>
      <c r="GJ75">
        <v>0</v>
      </c>
      <c r="GK75">
        <f>ROUND(R75*(R12)/100,2)</f>
        <v>0</v>
      </c>
      <c r="GL75">
        <f t="shared" si="84"/>
        <v>0</v>
      </c>
      <c r="GM75">
        <f t="shared" si="85"/>
        <v>4193.54</v>
      </c>
      <c r="GN75">
        <f t="shared" si="86"/>
        <v>0</v>
      </c>
      <c r="GO75">
        <f t="shared" si="87"/>
        <v>0</v>
      </c>
      <c r="GP75">
        <f t="shared" si="88"/>
        <v>4193.54</v>
      </c>
      <c r="GR75">
        <v>0</v>
      </c>
    </row>
    <row r="76" spans="1:200" ht="12.75">
      <c r="A76">
        <v>17</v>
      </c>
      <c r="B76">
        <v>1</v>
      </c>
      <c r="C76">
        <f>ROW(SmtRes!A132)</f>
        <v>132</v>
      </c>
      <c r="D76">
        <f>ROW(EtalonRes!A136)</f>
        <v>136</v>
      </c>
      <c r="E76" t="s">
        <v>177</v>
      </c>
      <c r="F76" t="s">
        <v>178</v>
      </c>
      <c r="G76" t="s">
        <v>179</v>
      </c>
      <c r="H76" t="s">
        <v>58</v>
      </c>
      <c r="I76">
        <v>1</v>
      </c>
      <c r="J76">
        <v>0</v>
      </c>
      <c r="O76">
        <f t="shared" si="52"/>
        <v>10160.13</v>
      </c>
      <c r="P76">
        <f t="shared" si="53"/>
        <v>1331.01</v>
      </c>
      <c r="Q76">
        <f t="shared" si="54"/>
        <v>59.4</v>
      </c>
      <c r="R76">
        <f t="shared" si="55"/>
        <v>12.4</v>
      </c>
      <c r="S76">
        <f t="shared" si="56"/>
        <v>8769.72</v>
      </c>
      <c r="T76">
        <f t="shared" si="57"/>
        <v>0</v>
      </c>
      <c r="U76">
        <f t="shared" si="58"/>
        <v>46.12</v>
      </c>
      <c r="V76">
        <f t="shared" si="59"/>
        <v>0</v>
      </c>
      <c r="W76">
        <f t="shared" si="60"/>
        <v>0</v>
      </c>
      <c r="X76">
        <f t="shared" si="61"/>
        <v>6138.8</v>
      </c>
      <c r="Y76">
        <f t="shared" si="62"/>
        <v>876.97</v>
      </c>
      <c r="AA76">
        <v>26615678</v>
      </c>
      <c r="AB76">
        <f t="shared" si="63"/>
        <v>10160.13</v>
      </c>
      <c r="AC76">
        <f t="shared" si="64"/>
        <v>1331.01</v>
      </c>
      <c r="AD76">
        <f t="shared" si="65"/>
        <v>59.4</v>
      </c>
      <c r="AE76">
        <f t="shared" si="66"/>
        <v>12.4</v>
      </c>
      <c r="AF76">
        <f t="shared" si="67"/>
        <v>8769.72</v>
      </c>
      <c r="AG76">
        <f t="shared" si="68"/>
        <v>0</v>
      </c>
      <c r="AH76">
        <f t="shared" si="69"/>
        <v>46.12</v>
      </c>
      <c r="AI76">
        <f t="shared" si="70"/>
        <v>0</v>
      </c>
      <c r="AJ76">
        <f t="shared" si="71"/>
        <v>0</v>
      </c>
      <c r="AK76">
        <v>10160.13</v>
      </c>
      <c r="AL76">
        <v>1331.01</v>
      </c>
      <c r="AM76">
        <v>59.4</v>
      </c>
      <c r="AN76">
        <v>12.4</v>
      </c>
      <c r="AO76">
        <v>8769.72</v>
      </c>
      <c r="AP76">
        <v>0</v>
      </c>
      <c r="AQ76">
        <v>46.12</v>
      </c>
      <c r="AR76">
        <v>0</v>
      </c>
      <c r="AS76">
        <v>0</v>
      </c>
      <c r="AT76">
        <v>70</v>
      </c>
      <c r="AU76">
        <v>10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H76">
        <v>0</v>
      </c>
      <c r="BI76">
        <v>4</v>
      </c>
      <c r="BJ76" t="s">
        <v>180</v>
      </c>
      <c r="BM76">
        <v>0</v>
      </c>
      <c r="BN76">
        <v>0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70</v>
      </c>
      <c r="CA76">
        <v>10</v>
      </c>
      <c r="CF76">
        <v>0</v>
      </c>
      <c r="CG76">
        <v>0</v>
      </c>
      <c r="CM76">
        <v>0</v>
      </c>
      <c r="CO76">
        <v>0</v>
      </c>
      <c r="CP76">
        <f t="shared" si="72"/>
        <v>10160.13</v>
      </c>
      <c r="CQ76">
        <f t="shared" si="73"/>
        <v>1331.01</v>
      </c>
      <c r="CR76">
        <f t="shared" si="74"/>
        <v>59.4</v>
      </c>
      <c r="CS76">
        <f t="shared" si="75"/>
        <v>12.4</v>
      </c>
      <c r="CT76">
        <f t="shared" si="76"/>
        <v>8769.72</v>
      </c>
      <c r="CU76">
        <f t="shared" si="77"/>
        <v>0</v>
      </c>
      <c r="CV76">
        <f t="shared" si="78"/>
        <v>46.12</v>
      </c>
      <c r="CW76">
        <f t="shared" si="79"/>
        <v>0</v>
      </c>
      <c r="CX76">
        <f t="shared" si="80"/>
        <v>0</v>
      </c>
      <c r="CY76">
        <f t="shared" si="81"/>
        <v>6138.803999999999</v>
      </c>
      <c r="CZ76">
        <f t="shared" si="82"/>
        <v>876.972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58</v>
      </c>
      <c r="DW76" t="s">
        <v>58</v>
      </c>
      <c r="DX76">
        <v>1</v>
      </c>
      <c r="EE76">
        <v>25674155</v>
      </c>
      <c r="EF76">
        <v>1</v>
      </c>
      <c r="EG76" t="s">
        <v>19</v>
      </c>
      <c r="EH76">
        <v>0</v>
      </c>
      <c r="EJ76">
        <v>4</v>
      </c>
      <c r="EK76">
        <v>0</v>
      </c>
      <c r="EL76" t="s">
        <v>20</v>
      </c>
      <c r="EM76" t="s">
        <v>21</v>
      </c>
      <c r="EQ76">
        <v>0</v>
      </c>
      <c r="ER76">
        <v>10160.13</v>
      </c>
      <c r="ES76">
        <v>1331.01</v>
      </c>
      <c r="ET76">
        <v>59.4</v>
      </c>
      <c r="EU76">
        <v>12.4</v>
      </c>
      <c r="EV76">
        <v>8769.72</v>
      </c>
      <c r="EW76">
        <v>46.12</v>
      </c>
      <c r="EX76">
        <v>0</v>
      </c>
      <c r="EY76">
        <v>0</v>
      </c>
      <c r="FQ76">
        <v>0</v>
      </c>
      <c r="FR76">
        <f t="shared" si="83"/>
        <v>0</v>
      </c>
      <c r="FS76">
        <v>0</v>
      </c>
      <c r="FX76">
        <v>70</v>
      </c>
      <c r="FY76">
        <v>10</v>
      </c>
      <c r="GD76">
        <v>0</v>
      </c>
      <c r="GF76">
        <v>-1382088228</v>
      </c>
      <c r="GG76">
        <v>2</v>
      </c>
      <c r="GH76">
        <v>1</v>
      </c>
      <c r="GI76">
        <v>-2</v>
      </c>
      <c r="GJ76">
        <v>0</v>
      </c>
      <c r="GK76">
        <f>ROUND(R76*(R12)/100,2)</f>
        <v>13.39</v>
      </c>
      <c r="GL76">
        <f t="shared" si="84"/>
        <v>0</v>
      </c>
      <c r="GM76">
        <f t="shared" si="85"/>
        <v>17189.29</v>
      </c>
      <c r="GN76">
        <f t="shared" si="86"/>
        <v>0</v>
      </c>
      <c r="GO76">
        <f t="shared" si="87"/>
        <v>0</v>
      </c>
      <c r="GP76">
        <f t="shared" si="88"/>
        <v>17189.29</v>
      </c>
      <c r="GR76">
        <v>0</v>
      </c>
    </row>
    <row r="77" spans="1:200" ht="12.75">
      <c r="A77">
        <v>18</v>
      </c>
      <c r="B77">
        <v>1</v>
      </c>
      <c r="C77">
        <v>132</v>
      </c>
      <c r="E77" t="s">
        <v>181</v>
      </c>
      <c r="F77" t="s">
        <v>182</v>
      </c>
      <c r="G77" t="s">
        <v>183</v>
      </c>
      <c r="H77" t="s">
        <v>25</v>
      </c>
      <c r="I77">
        <f>I76*J77</f>
        <v>1</v>
      </c>
      <c r="J77">
        <v>1</v>
      </c>
      <c r="O77">
        <f t="shared" si="52"/>
        <v>31061.86</v>
      </c>
      <c r="P77">
        <f t="shared" si="53"/>
        <v>31061.86</v>
      </c>
      <c r="Q77">
        <f t="shared" si="54"/>
        <v>0</v>
      </c>
      <c r="R77">
        <f t="shared" si="55"/>
        <v>0</v>
      </c>
      <c r="S77">
        <f t="shared" si="56"/>
        <v>0</v>
      </c>
      <c r="T77">
        <f t="shared" si="57"/>
        <v>0</v>
      </c>
      <c r="U77">
        <f t="shared" si="58"/>
        <v>0</v>
      </c>
      <c r="V77">
        <f t="shared" si="59"/>
        <v>0</v>
      </c>
      <c r="W77">
        <f t="shared" si="60"/>
        <v>0</v>
      </c>
      <c r="X77">
        <f t="shared" si="61"/>
        <v>0</v>
      </c>
      <c r="Y77">
        <f t="shared" si="62"/>
        <v>0</v>
      </c>
      <c r="AA77">
        <v>26615678</v>
      </c>
      <c r="AB77">
        <f t="shared" si="63"/>
        <v>31061.86</v>
      </c>
      <c r="AC77">
        <f t="shared" si="64"/>
        <v>31061.86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31061.86</v>
      </c>
      <c r="AL77">
        <v>31061.86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70</v>
      </c>
      <c r="AU77">
        <v>10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H77">
        <v>3</v>
      </c>
      <c r="BI77">
        <v>4</v>
      </c>
      <c r="BM77">
        <v>0</v>
      </c>
      <c r="BN77">
        <v>0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70</v>
      </c>
      <c r="CA77">
        <v>10</v>
      </c>
      <c r="CF77">
        <v>0</v>
      </c>
      <c r="CG77">
        <v>0</v>
      </c>
      <c r="CM77">
        <v>0</v>
      </c>
      <c r="CO77">
        <v>0</v>
      </c>
      <c r="CP77">
        <f t="shared" si="72"/>
        <v>31061.86</v>
      </c>
      <c r="CQ77">
        <f t="shared" si="73"/>
        <v>31061.86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25</v>
      </c>
      <c r="DW77" t="s">
        <v>25</v>
      </c>
      <c r="DX77">
        <v>1</v>
      </c>
      <c r="EE77">
        <v>25674155</v>
      </c>
      <c r="EF77">
        <v>1</v>
      </c>
      <c r="EG77" t="s">
        <v>19</v>
      </c>
      <c r="EH77">
        <v>0</v>
      </c>
      <c r="EJ77">
        <v>4</v>
      </c>
      <c r="EK77">
        <v>0</v>
      </c>
      <c r="EL77" t="s">
        <v>20</v>
      </c>
      <c r="EM77" t="s">
        <v>21</v>
      </c>
      <c r="EQ77">
        <v>0</v>
      </c>
      <c r="ER77">
        <v>0</v>
      </c>
      <c r="ES77">
        <v>31061.86</v>
      </c>
      <c r="ET77">
        <v>0</v>
      </c>
      <c r="EU77">
        <v>0</v>
      </c>
      <c r="EV77">
        <v>0</v>
      </c>
      <c r="EW77">
        <v>0</v>
      </c>
      <c r="EX77">
        <v>0</v>
      </c>
      <c r="EZ77">
        <v>5</v>
      </c>
      <c r="FC77">
        <v>1</v>
      </c>
      <c r="FD77">
        <v>18</v>
      </c>
      <c r="FF77">
        <v>36653</v>
      </c>
      <c r="FQ77">
        <v>0</v>
      </c>
      <c r="FR77">
        <f t="shared" si="83"/>
        <v>0</v>
      </c>
      <c r="FS77">
        <v>0</v>
      </c>
      <c r="FX77">
        <v>70</v>
      </c>
      <c r="FY77">
        <v>10</v>
      </c>
      <c r="GA77" t="s">
        <v>184</v>
      </c>
      <c r="GD77">
        <v>0</v>
      </c>
      <c r="GF77">
        <v>515216307</v>
      </c>
      <c r="GG77">
        <v>2</v>
      </c>
      <c r="GH77">
        <v>3</v>
      </c>
      <c r="GI77">
        <v>-2</v>
      </c>
      <c r="GJ77">
        <v>0</v>
      </c>
      <c r="GK77">
        <f>ROUND(R77*(R12)/100,2)</f>
        <v>0</v>
      </c>
      <c r="GL77">
        <f t="shared" si="84"/>
        <v>0</v>
      </c>
      <c r="GM77">
        <f t="shared" si="85"/>
        <v>31061.86</v>
      </c>
      <c r="GN77">
        <f t="shared" si="86"/>
        <v>0</v>
      </c>
      <c r="GO77">
        <f t="shared" si="87"/>
        <v>0</v>
      </c>
      <c r="GP77">
        <f t="shared" si="88"/>
        <v>31061.86</v>
      </c>
      <c r="GR77">
        <v>0</v>
      </c>
    </row>
    <row r="78" spans="1:200" ht="12.75">
      <c r="A78">
        <v>17</v>
      </c>
      <c r="B78">
        <v>1</v>
      </c>
      <c r="C78">
        <f>ROW(SmtRes!A136)</f>
        <v>136</v>
      </c>
      <c r="D78">
        <f>ROW(EtalonRes!A140)</f>
        <v>140</v>
      </c>
      <c r="E78" t="s">
        <v>185</v>
      </c>
      <c r="F78" t="s">
        <v>186</v>
      </c>
      <c r="G78" t="s">
        <v>187</v>
      </c>
      <c r="H78" t="s">
        <v>17</v>
      </c>
      <c r="I78">
        <v>1</v>
      </c>
      <c r="J78">
        <v>0</v>
      </c>
      <c r="O78">
        <f t="shared" si="52"/>
        <v>387.85</v>
      </c>
      <c r="P78">
        <f t="shared" si="53"/>
        <v>96.93</v>
      </c>
      <c r="Q78">
        <f t="shared" si="54"/>
        <v>0</v>
      </c>
      <c r="R78">
        <f t="shared" si="55"/>
        <v>0</v>
      </c>
      <c r="S78">
        <f t="shared" si="56"/>
        <v>290.92</v>
      </c>
      <c r="T78">
        <f t="shared" si="57"/>
        <v>0</v>
      </c>
      <c r="U78">
        <f t="shared" si="58"/>
        <v>1.63</v>
      </c>
      <c r="V78">
        <f t="shared" si="59"/>
        <v>0</v>
      </c>
      <c r="W78">
        <f t="shared" si="60"/>
        <v>0</v>
      </c>
      <c r="X78">
        <f t="shared" si="61"/>
        <v>203.64</v>
      </c>
      <c r="Y78">
        <f t="shared" si="62"/>
        <v>29.09</v>
      </c>
      <c r="AA78">
        <v>26615678</v>
      </c>
      <c r="AB78">
        <f t="shared" si="63"/>
        <v>387.85</v>
      </c>
      <c r="AC78">
        <f t="shared" si="64"/>
        <v>96.93</v>
      </c>
      <c r="AD78">
        <f t="shared" si="65"/>
        <v>0</v>
      </c>
      <c r="AE78">
        <f t="shared" si="66"/>
        <v>0</v>
      </c>
      <c r="AF78">
        <f t="shared" si="67"/>
        <v>290.92</v>
      </c>
      <c r="AG78">
        <f t="shared" si="68"/>
        <v>0</v>
      </c>
      <c r="AH78">
        <f t="shared" si="69"/>
        <v>1.63</v>
      </c>
      <c r="AI78">
        <f t="shared" si="70"/>
        <v>0</v>
      </c>
      <c r="AJ78">
        <f t="shared" si="71"/>
        <v>0</v>
      </c>
      <c r="AK78">
        <v>387.85</v>
      </c>
      <c r="AL78">
        <v>96.93</v>
      </c>
      <c r="AM78">
        <v>0</v>
      </c>
      <c r="AN78">
        <v>0</v>
      </c>
      <c r="AO78">
        <v>290.92</v>
      </c>
      <c r="AP78">
        <v>0</v>
      </c>
      <c r="AQ78">
        <v>1.63</v>
      </c>
      <c r="AR78">
        <v>0</v>
      </c>
      <c r="AS78">
        <v>0</v>
      </c>
      <c r="AT78">
        <v>70</v>
      </c>
      <c r="AU78">
        <v>10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4</v>
      </c>
      <c r="BJ78" t="s">
        <v>188</v>
      </c>
      <c r="BM78">
        <v>0</v>
      </c>
      <c r="BN78">
        <v>0</v>
      </c>
      <c r="BP78">
        <v>0</v>
      </c>
      <c r="BQ78">
        <v>1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70</v>
      </c>
      <c r="CA78">
        <v>10</v>
      </c>
      <c r="CF78">
        <v>0</v>
      </c>
      <c r="CG78">
        <v>0</v>
      </c>
      <c r="CM78">
        <v>0</v>
      </c>
      <c r="CO78">
        <v>0</v>
      </c>
      <c r="CP78">
        <f t="shared" si="72"/>
        <v>387.85</v>
      </c>
      <c r="CQ78">
        <f t="shared" si="73"/>
        <v>96.93</v>
      </c>
      <c r="CR78">
        <f t="shared" si="74"/>
        <v>0</v>
      </c>
      <c r="CS78">
        <f t="shared" si="75"/>
        <v>0</v>
      </c>
      <c r="CT78">
        <f t="shared" si="76"/>
        <v>290.92</v>
      </c>
      <c r="CU78">
        <f t="shared" si="77"/>
        <v>0</v>
      </c>
      <c r="CV78">
        <f t="shared" si="78"/>
        <v>1.63</v>
      </c>
      <c r="CW78">
        <f t="shared" si="79"/>
        <v>0</v>
      </c>
      <c r="CX78">
        <f t="shared" si="80"/>
        <v>0</v>
      </c>
      <c r="CY78">
        <f t="shared" si="81"/>
        <v>203.644</v>
      </c>
      <c r="CZ78">
        <f t="shared" si="82"/>
        <v>29.092000000000002</v>
      </c>
      <c r="DN78">
        <v>0</v>
      </c>
      <c r="DO78">
        <v>0</v>
      </c>
      <c r="DP78">
        <v>1</v>
      </c>
      <c r="DQ78">
        <v>1</v>
      </c>
      <c r="DU78">
        <v>1013</v>
      </c>
      <c r="DV78" t="s">
        <v>17</v>
      </c>
      <c r="DW78" t="s">
        <v>17</v>
      </c>
      <c r="DX78">
        <v>1</v>
      </c>
      <c r="EE78">
        <v>25674155</v>
      </c>
      <c r="EF78">
        <v>1</v>
      </c>
      <c r="EG78" t="s">
        <v>19</v>
      </c>
      <c r="EH78">
        <v>0</v>
      </c>
      <c r="EJ78">
        <v>4</v>
      </c>
      <c r="EK78">
        <v>0</v>
      </c>
      <c r="EL78" t="s">
        <v>20</v>
      </c>
      <c r="EM78" t="s">
        <v>21</v>
      </c>
      <c r="EQ78">
        <v>0</v>
      </c>
      <c r="ER78">
        <v>387.85</v>
      </c>
      <c r="ES78">
        <v>96.93</v>
      </c>
      <c r="ET78">
        <v>0</v>
      </c>
      <c r="EU78">
        <v>0</v>
      </c>
      <c r="EV78">
        <v>290.92</v>
      </c>
      <c r="EW78">
        <v>1.63</v>
      </c>
      <c r="EX78">
        <v>0</v>
      </c>
      <c r="EY78">
        <v>0</v>
      </c>
      <c r="FQ78">
        <v>0</v>
      </c>
      <c r="FR78">
        <f t="shared" si="83"/>
        <v>0</v>
      </c>
      <c r="FS78">
        <v>0</v>
      </c>
      <c r="FX78">
        <v>70</v>
      </c>
      <c r="FY78">
        <v>10</v>
      </c>
      <c r="GD78">
        <v>0</v>
      </c>
      <c r="GF78">
        <v>200464805</v>
      </c>
      <c r="GG78">
        <v>2</v>
      </c>
      <c r="GH78">
        <v>1</v>
      </c>
      <c r="GI78">
        <v>-2</v>
      </c>
      <c r="GJ78">
        <v>0</v>
      </c>
      <c r="GK78">
        <f>ROUND(R78*(R12)/100,2)</f>
        <v>0</v>
      </c>
      <c r="GL78">
        <f t="shared" si="84"/>
        <v>0</v>
      </c>
      <c r="GM78">
        <f t="shared" si="85"/>
        <v>620.58</v>
      </c>
      <c r="GN78">
        <f t="shared" si="86"/>
        <v>0</v>
      </c>
      <c r="GO78">
        <f t="shared" si="87"/>
        <v>0</v>
      </c>
      <c r="GP78">
        <f t="shared" si="88"/>
        <v>620.58</v>
      </c>
      <c r="GR78">
        <v>0</v>
      </c>
    </row>
    <row r="79" spans="1:200" ht="12.75">
      <c r="A79">
        <v>18</v>
      </c>
      <c r="B79">
        <v>1</v>
      </c>
      <c r="C79">
        <v>136</v>
      </c>
      <c r="E79" t="s">
        <v>189</v>
      </c>
      <c r="F79" t="s">
        <v>190</v>
      </c>
      <c r="G79" t="s">
        <v>191</v>
      </c>
      <c r="H79" t="s">
        <v>17</v>
      </c>
      <c r="I79">
        <f>I78*J79</f>
        <v>1</v>
      </c>
      <c r="J79">
        <v>1</v>
      </c>
      <c r="O79">
        <f t="shared" si="52"/>
        <v>3414.5</v>
      </c>
      <c r="P79">
        <f t="shared" si="53"/>
        <v>3414.5</v>
      </c>
      <c r="Q79">
        <f t="shared" si="54"/>
        <v>0</v>
      </c>
      <c r="R79">
        <f t="shared" si="55"/>
        <v>0</v>
      </c>
      <c r="S79">
        <f t="shared" si="56"/>
        <v>0</v>
      </c>
      <c r="T79">
        <f t="shared" si="57"/>
        <v>0</v>
      </c>
      <c r="U79">
        <f t="shared" si="58"/>
        <v>0</v>
      </c>
      <c r="V79">
        <f t="shared" si="59"/>
        <v>0</v>
      </c>
      <c r="W79">
        <f t="shared" si="60"/>
        <v>0</v>
      </c>
      <c r="X79">
        <f t="shared" si="61"/>
        <v>0</v>
      </c>
      <c r="Y79">
        <f t="shared" si="62"/>
        <v>0</v>
      </c>
      <c r="AA79">
        <v>26615678</v>
      </c>
      <c r="AB79">
        <f t="shared" si="63"/>
        <v>3414.5</v>
      </c>
      <c r="AC79">
        <f t="shared" si="64"/>
        <v>3414.5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3414.5</v>
      </c>
      <c r="AL79">
        <v>3414.5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70</v>
      </c>
      <c r="AU79">
        <v>10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H79">
        <v>3</v>
      </c>
      <c r="BI79">
        <v>4</v>
      </c>
      <c r="BJ79" t="s">
        <v>192</v>
      </c>
      <c r="BM79">
        <v>0</v>
      </c>
      <c r="BN79">
        <v>0</v>
      </c>
      <c r="BP79">
        <v>0</v>
      </c>
      <c r="BQ79">
        <v>1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70</v>
      </c>
      <c r="CA79">
        <v>10</v>
      </c>
      <c r="CF79">
        <v>0</v>
      </c>
      <c r="CG79">
        <v>0</v>
      </c>
      <c r="CM79">
        <v>0</v>
      </c>
      <c r="CO79">
        <v>0</v>
      </c>
      <c r="CP79">
        <f t="shared" si="72"/>
        <v>3414.5</v>
      </c>
      <c r="CQ79">
        <f t="shared" si="73"/>
        <v>3414.5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17</v>
      </c>
      <c r="DW79" t="s">
        <v>17</v>
      </c>
      <c r="DX79">
        <v>1</v>
      </c>
      <c r="EE79">
        <v>25674155</v>
      </c>
      <c r="EF79">
        <v>1</v>
      </c>
      <c r="EG79" t="s">
        <v>19</v>
      </c>
      <c r="EH79">
        <v>0</v>
      </c>
      <c r="EJ79">
        <v>4</v>
      </c>
      <c r="EK79">
        <v>0</v>
      </c>
      <c r="EL79" t="s">
        <v>20</v>
      </c>
      <c r="EM79" t="s">
        <v>21</v>
      </c>
      <c r="EQ79">
        <v>0</v>
      </c>
      <c r="ER79">
        <v>3414.5</v>
      </c>
      <c r="ES79">
        <v>3414.5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70</v>
      </c>
      <c r="FY79">
        <v>10</v>
      </c>
      <c r="GD79">
        <v>0</v>
      </c>
      <c r="GF79">
        <v>2017593473</v>
      </c>
      <c r="GG79">
        <v>2</v>
      </c>
      <c r="GH79">
        <v>1</v>
      </c>
      <c r="GI79">
        <v>-2</v>
      </c>
      <c r="GJ79">
        <v>0</v>
      </c>
      <c r="GK79">
        <f>ROUND(R79*(R12)/100,2)</f>
        <v>0</v>
      </c>
      <c r="GL79">
        <f t="shared" si="84"/>
        <v>0</v>
      </c>
      <c r="GM79">
        <f t="shared" si="85"/>
        <v>3414.5</v>
      </c>
      <c r="GN79">
        <f t="shared" si="86"/>
        <v>0</v>
      </c>
      <c r="GO79">
        <f t="shared" si="87"/>
        <v>0</v>
      </c>
      <c r="GP79">
        <f t="shared" si="88"/>
        <v>3414.5</v>
      </c>
      <c r="GR79">
        <v>0</v>
      </c>
    </row>
    <row r="80" spans="1:200" ht="12.75">
      <c r="A80">
        <v>17</v>
      </c>
      <c r="B80">
        <v>1</v>
      </c>
      <c r="C80">
        <f>ROW(SmtRes!A138)</f>
        <v>138</v>
      </c>
      <c r="D80">
        <f>ROW(EtalonRes!A142)</f>
        <v>142</v>
      </c>
      <c r="E80" t="s">
        <v>193</v>
      </c>
      <c r="F80" t="s">
        <v>194</v>
      </c>
      <c r="G80" t="s">
        <v>195</v>
      </c>
      <c r="H80" t="s">
        <v>17</v>
      </c>
      <c r="I80">
        <v>1</v>
      </c>
      <c r="J80">
        <v>0</v>
      </c>
      <c r="O80">
        <f t="shared" si="52"/>
        <v>210.61</v>
      </c>
      <c r="P80">
        <f t="shared" si="53"/>
        <v>0</v>
      </c>
      <c r="Q80">
        <f t="shared" si="54"/>
        <v>0</v>
      </c>
      <c r="R80">
        <f t="shared" si="55"/>
        <v>0</v>
      </c>
      <c r="S80">
        <f t="shared" si="56"/>
        <v>210.61</v>
      </c>
      <c r="T80">
        <f t="shared" si="57"/>
        <v>0</v>
      </c>
      <c r="U80">
        <f t="shared" si="58"/>
        <v>1.18</v>
      </c>
      <c r="V80">
        <f t="shared" si="59"/>
        <v>0</v>
      </c>
      <c r="W80">
        <f t="shared" si="60"/>
        <v>0</v>
      </c>
      <c r="X80">
        <f t="shared" si="61"/>
        <v>147.43</v>
      </c>
      <c r="Y80">
        <f t="shared" si="62"/>
        <v>21.06</v>
      </c>
      <c r="AA80">
        <v>26615678</v>
      </c>
      <c r="AB80">
        <f t="shared" si="63"/>
        <v>210.61</v>
      </c>
      <c r="AC80">
        <f t="shared" si="64"/>
        <v>0</v>
      </c>
      <c r="AD80">
        <f t="shared" si="65"/>
        <v>0</v>
      </c>
      <c r="AE80">
        <f t="shared" si="66"/>
        <v>0</v>
      </c>
      <c r="AF80">
        <f t="shared" si="67"/>
        <v>210.61</v>
      </c>
      <c r="AG80">
        <f t="shared" si="68"/>
        <v>0</v>
      </c>
      <c r="AH80">
        <f t="shared" si="69"/>
        <v>1.18</v>
      </c>
      <c r="AI80">
        <f t="shared" si="70"/>
        <v>0</v>
      </c>
      <c r="AJ80">
        <f t="shared" si="71"/>
        <v>0</v>
      </c>
      <c r="AK80">
        <v>210.61</v>
      </c>
      <c r="AL80">
        <v>0</v>
      </c>
      <c r="AM80">
        <v>0</v>
      </c>
      <c r="AN80">
        <v>0</v>
      </c>
      <c r="AO80">
        <v>210.61</v>
      </c>
      <c r="AP80">
        <v>0</v>
      </c>
      <c r="AQ80">
        <v>1.18</v>
      </c>
      <c r="AR80">
        <v>0</v>
      </c>
      <c r="AS80">
        <v>0</v>
      </c>
      <c r="AT80">
        <v>70</v>
      </c>
      <c r="AU80">
        <v>10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H80">
        <v>0</v>
      </c>
      <c r="BI80">
        <v>4</v>
      </c>
      <c r="BJ80" t="s">
        <v>196</v>
      </c>
      <c r="BM80">
        <v>0</v>
      </c>
      <c r="BN80">
        <v>0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70</v>
      </c>
      <c r="CA80">
        <v>10</v>
      </c>
      <c r="CF80">
        <v>0</v>
      </c>
      <c r="CG80">
        <v>0</v>
      </c>
      <c r="CM80">
        <v>0</v>
      </c>
      <c r="CO80">
        <v>0</v>
      </c>
      <c r="CP80">
        <f t="shared" si="72"/>
        <v>210.61</v>
      </c>
      <c r="CQ80">
        <f t="shared" si="73"/>
        <v>0</v>
      </c>
      <c r="CR80">
        <f t="shared" si="74"/>
        <v>0</v>
      </c>
      <c r="CS80">
        <f t="shared" si="75"/>
        <v>0</v>
      </c>
      <c r="CT80">
        <f t="shared" si="76"/>
        <v>210.61</v>
      </c>
      <c r="CU80">
        <f t="shared" si="77"/>
        <v>0</v>
      </c>
      <c r="CV80">
        <f t="shared" si="78"/>
        <v>1.18</v>
      </c>
      <c r="CW80">
        <f t="shared" si="79"/>
        <v>0</v>
      </c>
      <c r="CX80">
        <f t="shared" si="80"/>
        <v>0</v>
      </c>
      <c r="CY80">
        <f t="shared" si="81"/>
        <v>147.42700000000002</v>
      </c>
      <c r="CZ80">
        <f t="shared" si="82"/>
        <v>21.061000000000003</v>
      </c>
      <c r="DN80">
        <v>0</v>
      </c>
      <c r="DO80">
        <v>0</v>
      </c>
      <c r="DP80">
        <v>1</v>
      </c>
      <c r="DQ80">
        <v>1</v>
      </c>
      <c r="DU80">
        <v>1013</v>
      </c>
      <c r="DV80" t="s">
        <v>17</v>
      </c>
      <c r="DW80" t="s">
        <v>17</v>
      </c>
      <c r="DX80">
        <v>1</v>
      </c>
      <c r="EE80">
        <v>25674155</v>
      </c>
      <c r="EF80">
        <v>1</v>
      </c>
      <c r="EG80" t="s">
        <v>19</v>
      </c>
      <c r="EH80">
        <v>0</v>
      </c>
      <c r="EJ80">
        <v>4</v>
      </c>
      <c r="EK80">
        <v>0</v>
      </c>
      <c r="EL80" t="s">
        <v>20</v>
      </c>
      <c r="EM80" t="s">
        <v>21</v>
      </c>
      <c r="EQ80">
        <v>0</v>
      </c>
      <c r="ER80">
        <v>210.61</v>
      </c>
      <c r="ES80">
        <v>0</v>
      </c>
      <c r="ET80">
        <v>0</v>
      </c>
      <c r="EU80">
        <v>0</v>
      </c>
      <c r="EV80">
        <v>210.61</v>
      </c>
      <c r="EW80">
        <v>1.18</v>
      </c>
      <c r="EX80">
        <v>0</v>
      </c>
      <c r="EY80">
        <v>0</v>
      </c>
      <c r="FQ80">
        <v>0</v>
      </c>
      <c r="FR80">
        <f t="shared" si="83"/>
        <v>0</v>
      </c>
      <c r="FS80">
        <v>0</v>
      </c>
      <c r="FX80">
        <v>70</v>
      </c>
      <c r="FY80">
        <v>10</v>
      </c>
      <c r="GD80">
        <v>0</v>
      </c>
      <c r="GF80">
        <v>1635107724</v>
      </c>
      <c r="GG80">
        <v>2</v>
      </c>
      <c r="GH80">
        <v>1</v>
      </c>
      <c r="GI80">
        <v>-2</v>
      </c>
      <c r="GJ80">
        <v>0</v>
      </c>
      <c r="GK80">
        <f>ROUND(R80*(R12)/100,2)</f>
        <v>0</v>
      </c>
      <c r="GL80">
        <f t="shared" si="84"/>
        <v>0</v>
      </c>
      <c r="GM80">
        <f t="shared" si="85"/>
        <v>379.1</v>
      </c>
      <c r="GN80">
        <f t="shared" si="86"/>
        <v>0</v>
      </c>
      <c r="GO80">
        <f t="shared" si="87"/>
        <v>0</v>
      </c>
      <c r="GP80">
        <f t="shared" si="88"/>
        <v>379.1</v>
      </c>
      <c r="GR80">
        <v>0</v>
      </c>
    </row>
    <row r="81" spans="1:200" ht="12.75">
      <c r="A81">
        <v>18</v>
      </c>
      <c r="B81">
        <v>1</v>
      </c>
      <c r="C81">
        <v>138</v>
      </c>
      <c r="E81" t="s">
        <v>197</v>
      </c>
      <c r="F81" t="s">
        <v>198</v>
      </c>
      <c r="G81" t="s">
        <v>199</v>
      </c>
      <c r="H81" t="s">
        <v>17</v>
      </c>
      <c r="I81">
        <f>I80*J81</f>
        <v>1</v>
      </c>
      <c r="J81">
        <v>1</v>
      </c>
      <c r="O81">
        <f t="shared" si="52"/>
        <v>2660.52</v>
      </c>
      <c r="P81">
        <f t="shared" si="53"/>
        <v>2660.52</v>
      </c>
      <c r="Q81">
        <f t="shared" si="54"/>
        <v>0</v>
      </c>
      <c r="R81">
        <f t="shared" si="55"/>
        <v>0</v>
      </c>
      <c r="S81">
        <f t="shared" si="56"/>
        <v>0</v>
      </c>
      <c r="T81">
        <f t="shared" si="57"/>
        <v>0</v>
      </c>
      <c r="U81">
        <f t="shared" si="58"/>
        <v>0</v>
      </c>
      <c r="V81">
        <f t="shared" si="59"/>
        <v>0</v>
      </c>
      <c r="W81">
        <f t="shared" si="60"/>
        <v>0</v>
      </c>
      <c r="X81">
        <f t="shared" si="61"/>
        <v>0</v>
      </c>
      <c r="Y81">
        <f t="shared" si="62"/>
        <v>0</v>
      </c>
      <c r="AA81">
        <v>26615678</v>
      </c>
      <c r="AB81">
        <f t="shared" si="63"/>
        <v>2660.52</v>
      </c>
      <c r="AC81">
        <f t="shared" si="64"/>
        <v>2660.52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v>2660.52</v>
      </c>
      <c r="AL81">
        <v>2660.52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70</v>
      </c>
      <c r="AU81">
        <v>10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4</v>
      </c>
      <c r="BJ81" t="s">
        <v>200</v>
      </c>
      <c r="BM81">
        <v>0</v>
      </c>
      <c r="BN81">
        <v>0</v>
      </c>
      <c r="BP81">
        <v>0</v>
      </c>
      <c r="BQ81">
        <v>1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70</v>
      </c>
      <c r="CA81">
        <v>10</v>
      </c>
      <c r="CF81">
        <v>0</v>
      </c>
      <c r="CG81">
        <v>0</v>
      </c>
      <c r="CM81">
        <v>0</v>
      </c>
      <c r="CO81">
        <v>0</v>
      </c>
      <c r="CP81">
        <f t="shared" si="72"/>
        <v>2660.52</v>
      </c>
      <c r="CQ81">
        <f t="shared" si="73"/>
        <v>2660.52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17</v>
      </c>
      <c r="DW81" t="s">
        <v>17</v>
      </c>
      <c r="DX81">
        <v>1</v>
      </c>
      <c r="EE81">
        <v>25674155</v>
      </c>
      <c r="EF81">
        <v>1</v>
      </c>
      <c r="EG81" t="s">
        <v>19</v>
      </c>
      <c r="EH81">
        <v>0</v>
      </c>
      <c r="EJ81">
        <v>4</v>
      </c>
      <c r="EK81">
        <v>0</v>
      </c>
      <c r="EL81" t="s">
        <v>20</v>
      </c>
      <c r="EM81" t="s">
        <v>21</v>
      </c>
      <c r="EQ81">
        <v>0</v>
      </c>
      <c r="ER81">
        <v>2660.52</v>
      </c>
      <c r="ES81">
        <v>2660.52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70</v>
      </c>
      <c r="FY81">
        <v>10</v>
      </c>
      <c r="GD81">
        <v>0</v>
      </c>
      <c r="GF81">
        <v>-1373508520</v>
      </c>
      <c r="GG81">
        <v>2</v>
      </c>
      <c r="GH81">
        <v>1</v>
      </c>
      <c r="GI81">
        <v>-2</v>
      </c>
      <c r="GJ81">
        <v>0</v>
      </c>
      <c r="GK81">
        <f>ROUND(R81*(R12)/100,2)</f>
        <v>0</v>
      </c>
      <c r="GL81">
        <f t="shared" si="84"/>
        <v>0</v>
      </c>
      <c r="GM81">
        <f t="shared" si="85"/>
        <v>2660.52</v>
      </c>
      <c r="GN81">
        <f t="shared" si="86"/>
        <v>0</v>
      </c>
      <c r="GO81">
        <f t="shared" si="87"/>
        <v>0</v>
      </c>
      <c r="GP81">
        <f t="shared" si="88"/>
        <v>2660.52</v>
      </c>
      <c r="GR81">
        <v>0</v>
      </c>
    </row>
    <row r="82" spans="1:200" ht="12.75">
      <c r="A82">
        <v>17</v>
      </c>
      <c r="B82">
        <v>1</v>
      </c>
      <c r="C82">
        <f>ROW(SmtRes!A143)</f>
        <v>143</v>
      </c>
      <c r="D82">
        <f>ROW(EtalonRes!A148)</f>
        <v>148</v>
      </c>
      <c r="E82" t="s">
        <v>201</v>
      </c>
      <c r="F82" t="s">
        <v>202</v>
      </c>
      <c r="G82" t="s">
        <v>203</v>
      </c>
      <c r="H82" t="s">
        <v>17</v>
      </c>
      <c r="I82">
        <v>1</v>
      </c>
      <c r="J82">
        <v>0</v>
      </c>
      <c r="O82">
        <f t="shared" si="52"/>
        <v>1538.83</v>
      </c>
      <c r="P82">
        <f t="shared" si="53"/>
        <v>199.95</v>
      </c>
      <c r="Q82">
        <f t="shared" si="54"/>
        <v>0</v>
      </c>
      <c r="R82">
        <f t="shared" si="55"/>
        <v>0</v>
      </c>
      <c r="S82">
        <f t="shared" si="56"/>
        <v>1338.88</v>
      </c>
      <c r="T82">
        <f t="shared" si="57"/>
        <v>0</v>
      </c>
      <c r="U82">
        <f t="shared" si="58"/>
        <v>6.9</v>
      </c>
      <c r="V82">
        <f t="shared" si="59"/>
        <v>0</v>
      </c>
      <c r="W82">
        <f t="shared" si="60"/>
        <v>0</v>
      </c>
      <c r="X82">
        <f t="shared" si="61"/>
        <v>937.22</v>
      </c>
      <c r="Y82">
        <f t="shared" si="62"/>
        <v>133.89</v>
      </c>
      <c r="AA82">
        <v>26615678</v>
      </c>
      <c r="AB82">
        <f t="shared" si="63"/>
        <v>1538.83</v>
      </c>
      <c r="AC82">
        <f t="shared" si="64"/>
        <v>199.95</v>
      </c>
      <c r="AD82">
        <f t="shared" si="65"/>
        <v>0</v>
      </c>
      <c r="AE82">
        <f t="shared" si="66"/>
        <v>0</v>
      </c>
      <c r="AF82">
        <f t="shared" si="67"/>
        <v>1338.88</v>
      </c>
      <c r="AG82">
        <f t="shared" si="68"/>
        <v>0</v>
      </c>
      <c r="AH82">
        <f t="shared" si="69"/>
        <v>6.9</v>
      </c>
      <c r="AI82">
        <f t="shared" si="70"/>
        <v>0</v>
      </c>
      <c r="AJ82">
        <f t="shared" si="71"/>
        <v>0</v>
      </c>
      <c r="AK82">
        <v>1538.83</v>
      </c>
      <c r="AL82">
        <v>199.95</v>
      </c>
      <c r="AM82">
        <v>0</v>
      </c>
      <c r="AN82">
        <v>0</v>
      </c>
      <c r="AO82">
        <v>1338.88</v>
      </c>
      <c r="AP82">
        <v>0</v>
      </c>
      <c r="AQ82">
        <v>6.9</v>
      </c>
      <c r="AR82">
        <v>0</v>
      </c>
      <c r="AS82">
        <v>0</v>
      </c>
      <c r="AT82">
        <v>70</v>
      </c>
      <c r="AU82">
        <v>10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H82">
        <v>0</v>
      </c>
      <c r="BI82">
        <v>4</v>
      </c>
      <c r="BJ82" t="s">
        <v>204</v>
      </c>
      <c r="BM82">
        <v>0</v>
      </c>
      <c r="BN82">
        <v>0</v>
      </c>
      <c r="BP82">
        <v>0</v>
      </c>
      <c r="BQ82">
        <v>1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70</v>
      </c>
      <c r="CA82">
        <v>10</v>
      </c>
      <c r="CF82">
        <v>0</v>
      </c>
      <c r="CG82">
        <v>0</v>
      </c>
      <c r="CM82">
        <v>0</v>
      </c>
      <c r="CO82">
        <v>0</v>
      </c>
      <c r="CP82">
        <f t="shared" si="72"/>
        <v>1538.8300000000002</v>
      </c>
      <c r="CQ82">
        <f t="shared" si="73"/>
        <v>199.95</v>
      </c>
      <c r="CR82">
        <f t="shared" si="74"/>
        <v>0</v>
      </c>
      <c r="CS82">
        <f t="shared" si="75"/>
        <v>0</v>
      </c>
      <c r="CT82">
        <f t="shared" si="76"/>
        <v>1338.88</v>
      </c>
      <c r="CU82">
        <f t="shared" si="77"/>
        <v>0</v>
      </c>
      <c r="CV82">
        <f t="shared" si="78"/>
        <v>6.9</v>
      </c>
      <c r="CW82">
        <f t="shared" si="79"/>
        <v>0</v>
      </c>
      <c r="CX82">
        <f t="shared" si="80"/>
        <v>0</v>
      </c>
      <c r="CY82">
        <f t="shared" si="81"/>
        <v>937.216</v>
      </c>
      <c r="CZ82">
        <f t="shared" si="82"/>
        <v>133.888</v>
      </c>
      <c r="DN82">
        <v>0</v>
      </c>
      <c r="DO82">
        <v>0</v>
      </c>
      <c r="DP82">
        <v>1</v>
      </c>
      <c r="DQ82">
        <v>1</v>
      </c>
      <c r="DU82">
        <v>1013</v>
      </c>
      <c r="DV82" t="s">
        <v>17</v>
      </c>
      <c r="DW82" t="s">
        <v>17</v>
      </c>
      <c r="DX82">
        <v>1</v>
      </c>
      <c r="EE82">
        <v>25674155</v>
      </c>
      <c r="EF82">
        <v>1</v>
      </c>
      <c r="EG82" t="s">
        <v>19</v>
      </c>
      <c r="EH82">
        <v>0</v>
      </c>
      <c r="EJ82">
        <v>4</v>
      </c>
      <c r="EK82">
        <v>0</v>
      </c>
      <c r="EL82" t="s">
        <v>20</v>
      </c>
      <c r="EM82" t="s">
        <v>21</v>
      </c>
      <c r="EQ82">
        <v>0</v>
      </c>
      <c r="ER82">
        <v>1538.83</v>
      </c>
      <c r="ES82">
        <v>199.95</v>
      </c>
      <c r="ET82">
        <v>0</v>
      </c>
      <c r="EU82">
        <v>0</v>
      </c>
      <c r="EV82">
        <v>1338.88</v>
      </c>
      <c r="EW82">
        <v>6.9</v>
      </c>
      <c r="EX82">
        <v>0</v>
      </c>
      <c r="EY82">
        <v>0</v>
      </c>
      <c r="FQ82">
        <v>0</v>
      </c>
      <c r="FR82">
        <f t="shared" si="83"/>
        <v>0</v>
      </c>
      <c r="FS82">
        <v>0</v>
      </c>
      <c r="FX82">
        <v>70</v>
      </c>
      <c r="FY82">
        <v>10</v>
      </c>
      <c r="GD82">
        <v>0</v>
      </c>
      <c r="GF82">
        <v>580414730</v>
      </c>
      <c r="GG82">
        <v>2</v>
      </c>
      <c r="GH82">
        <v>1</v>
      </c>
      <c r="GI82">
        <v>-2</v>
      </c>
      <c r="GJ82">
        <v>0</v>
      </c>
      <c r="GK82">
        <f>ROUND(R82*(R12)/100,2)</f>
        <v>0</v>
      </c>
      <c r="GL82">
        <f t="shared" si="84"/>
        <v>0</v>
      </c>
      <c r="GM82">
        <f t="shared" si="85"/>
        <v>2609.94</v>
      </c>
      <c r="GN82">
        <f t="shared" si="86"/>
        <v>0</v>
      </c>
      <c r="GO82">
        <f t="shared" si="87"/>
        <v>0</v>
      </c>
      <c r="GP82">
        <f t="shared" si="88"/>
        <v>2609.94</v>
      </c>
      <c r="GR82">
        <v>0</v>
      </c>
    </row>
    <row r="83" spans="1:200" ht="12.75">
      <c r="A83">
        <v>18</v>
      </c>
      <c r="B83">
        <v>1</v>
      </c>
      <c r="C83">
        <v>143</v>
      </c>
      <c r="E83" t="s">
        <v>205</v>
      </c>
      <c r="F83" t="s">
        <v>206</v>
      </c>
      <c r="G83" t="s">
        <v>207</v>
      </c>
      <c r="H83" t="s">
        <v>25</v>
      </c>
      <c r="I83">
        <f>I82*J83</f>
        <v>1</v>
      </c>
      <c r="J83">
        <v>1</v>
      </c>
      <c r="O83">
        <f t="shared" si="52"/>
        <v>7622.08</v>
      </c>
      <c r="P83">
        <f t="shared" si="53"/>
        <v>7622.08</v>
      </c>
      <c r="Q83">
        <f t="shared" si="54"/>
        <v>0</v>
      </c>
      <c r="R83">
        <f t="shared" si="55"/>
        <v>0</v>
      </c>
      <c r="S83">
        <f t="shared" si="56"/>
        <v>0</v>
      </c>
      <c r="T83">
        <f t="shared" si="57"/>
        <v>0</v>
      </c>
      <c r="U83">
        <f t="shared" si="58"/>
        <v>0</v>
      </c>
      <c r="V83">
        <f t="shared" si="59"/>
        <v>0</v>
      </c>
      <c r="W83">
        <f t="shared" si="60"/>
        <v>0</v>
      </c>
      <c r="X83">
        <f t="shared" si="61"/>
        <v>0</v>
      </c>
      <c r="Y83">
        <f t="shared" si="62"/>
        <v>0</v>
      </c>
      <c r="AA83">
        <v>26615678</v>
      </c>
      <c r="AB83">
        <f t="shared" si="63"/>
        <v>7622.08</v>
      </c>
      <c r="AC83">
        <f t="shared" si="64"/>
        <v>7622.08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v>7622.08</v>
      </c>
      <c r="AL83">
        <v>7622.08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70</v>
      </c>
      <c r="AU83">
        <v>10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4</v>
      </c>
      <c r="BM83">
        <v>0</v>
      </c>
      <c r="BN83">
        <v>0</v>
      </c>
      <c r="BP83">
        <v>0</v>
      </c>
      <c r="BQ83">
        <v>1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70</v>
      </c>
      <c r="CA83">
        <v>10</v>
      </c>
      <c r="CF83">
        <v>0</v>
      </c>
      <c r="CG83">
        <v>0</v>
      </c>
      <c r="CM83">
        <v>0</v>
      </c>
      <c r="CO83">
        <v>0</v>
      </c>
      <c r="CP83">
        <f t="shared" si="72"/>
        <v>7622.08</v>
      </c>
      <c r="CQ83">
        <f t="shared" si="73"/>
        <v>7622.08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N83">
        <v>0</v>
      </c>
      <c r="DO83">
        <v>0</v>
      </c>
      <c r="DP83">
        <v>1</v>
      </c>
      <c r="DQ83">
        <v>1</v>
      </c>
      <c r="DU83">
        <v>1013</v>
      </c>
      <c r="DV83" t="s">
        <v>25</v>
      </c>
      <c r="DW83" t="s">
        <v>25</v>
      </c>
      <c r="DX83">
        <v>1</v>
      </c>
      <c r="EE83">
        <v>25674155</v>
      </c>
      <c r="EF83">
        <v>1</v>
      </c>
      <c r="EG83" t="s">
        <v>19</v>
      </c>
      <c r="EH83">
        <v>0</v>
      </c>
      <c r="EJ83">
        <v>4</v>
      </c>
      <c r="EK83">
        <v>0</v>
      </c>
      <c r="EL83" t="s">
        <v>20</v>
      </c>
      <c r="EM83" t="s">
        <v>21</v>
      </c>
      <c r="EQ83">
        <v>0</v>
      </c>
      <c r="ER83">
        <v>0</v>
      </c>
      <c r="ES83">
        <v>7622.08</v>
      </c>
      <c r="ET83">
        <v>0</v>
      </c>
      <c r="EU83">
        <v>0</v>
      </c>
      <c r="EV83">
        <v>0</v>
      </c>
      <c r="EW83">
        <v>0</v>
      </c>
      <c r="EX83">
        <v>0</v>
      </c>
      <c r="EZ83">
        <v>5</v>
      </c>
      <c r="FC83">
        <v>1</v>
      </c>
      <c r="FD83">
        <v>18</v>
      </c>
      <c r="FF83">
        <v>8994.06</v>
      </c>
      <c r="FQ83">
        <v>0</v>
      </c>
      <c r="FR83">
        <f t="shared" si="83"/>
        <v>0</v>
      </c>
      <c r="FS83">
        <v>0</v>
      </c>
      <c r="FX83">
        <v>70</v>
      </c>
      <c r="FY83">
        <v>10</v>
      </c>
      <c r="GA83" t="s">
        <v>208</v>
      </c>
      <c r="GD83">
        <v>0</v>
      </c>
      <c r="GF83">
        <v>1524000057</v>
      </c>
      <c r="GG83">
        <v>2</v>
      </c>
      <c r="GH83">
        <v>3</v>
      </c>
      <c r="GI83">
        <v>-2</v>
      </c>
      <c r="GJ83">
        <v>0</v>
      </c>
      <c r="GK83">
        <f>ROUND(R83*(R12)/100,2)</f>
        <v>0</v>
      </c>
      <c r="GL83">
        <f t="shared" si="84"/>
        <v>0</v>
      </c>
      <c r="GM83">
        <f t="shared" si="85"/>
        <v>7622.08</v>
      </c>
      <c r="GN83">
        <f t="shared" si="86"/>
        <v>0</v>
      </c>
      <c r="GO83">
        <f t="shared" si="87"/>
        <v>0</v>
      </c>
      <c r="GP83">
        <f t="shared" si="88"/>
        <v>7622.08</v>
      </c>
      <c r="GR83">
        <v>0</v>
      </c>
    </row>
    <row r="85" spans="1:118" ht="12.75">
      <c r="A85" s="2">
        <v>51</v>
      </c>
      <c r="B85" s="2">
        <f>B24</f>
        <v>1</v>
      </c>
      <c r="C85" s="2">
        <f>A24</f>
        <v>4</v>
      </c>
      <c r="D85" s="2">
        <f>ROW(A24)</f>
        <v>24</v>
      </c>
      <c r="E85" s="2"/>
      <c r="F85" s="2" t="str">
        <f>IF(F24&lt;&gt;"",F24,"")</f>
        <v>Новый раздел</v>
      </c>
      <c r="G85" s="2" t="str">
        <f>IF(G24&lt;&gt;"",G24,"")</f>
        <v>Монтажные работы</v>
      </c>
      <c r="H85" s="2"/>
      <c r="I85" s="2"/>
      <c r="J85" s="2"/>
      <c r="K85" s="2"/>
      <c r="L85" s="2"/>
      <c r="M85" s="2"/>
      <c r="N85" s="2"/>
      <c r="O85" s="2">
        <f aca="true" t="shared" si="89" ref="O85:T85">ROUND(AB85,2)</f>
        <v>667419.05</v>
      </c>
      <c r="P85" s="2">
        <f t="shared" si="89"/>
        <v>545753.61</v>
      </c>
      <c r="Q85" s="2">
        <f t="shared" si="89"/>
        <v>1538.75</v>
      </c>
      <c r="R85" s="2">
        <f t="shared" si="89"/>
        <v>283.65</v>
      </c>
      <c r="S85" s="2">
        <f t="shared" si="89"/>
        <v>120126.69</v>
      </c>
      <c r="T85" s="2">
        <f t="shared" si="89"/>
        <v>0</v>
      </c>
      <c r="U85" s="2">
        <f>AH85</f>
        <v>665.7902259999998</v>
      </c>
      <c r="V85" s="2">
        <f>AI85</f>
        <v>0</v>
      </c>
      <c r="W85" s="2">
        <f>ROUND(AJ85,2)</f>
        <v>0</v>
      </c>
      <c r="X85" s="2">
        <f>ROUND(AK85,2)</f>
        <v>84088.7</v>
      </c>
      <c r="Y85" s="2">
        <f>ROUND(AL85,2)</f>
        <v>12012.66</v>
      </c>
      <c r="Z85" s="2"/>
      <c r="AA85" s="2"/>
      <c r="AB85" s="2">
        <f>ROUND(SUMIF(AA28:AA83,"=26615678",O28:O83),2)</f>
        <v>667419.05</v>
      </c>
      <c r="AC85" s="2">
        <f>ROUND(SUMIF(AA28:AA83,"=26615678",P28:P83),2)</f>
        <v>545753.61</v>
      </c>
      <c r="AD85" s="2">
        <f>ROUND(SUMIF(AA28:AA83,"=26615678",Q28:Q83),2)</f>
        <v>1538.75</v>
      </c>
      <c r="AE85" s="2">
        <f>ROUND(SUMIF(AA28:AA83,"=26615678",R28:R83),2)</f>
        <v>283.65</v>
      </c>
      <c r="AF85" s="2">
        <f>ROUND(SUMIF(AA28:AA83,"=26615678",S28:S83),2)</f>
        <v>120126.69</v>
      </c>
      <c r="AG85" s="2">
        <f>ROUND(SUMIF(AA28:AA83,"=26615678",T28:T83),2)</f>
        <v>0</v>
      </c>
      <c r="AH85" s="2">
        <f>SUMIF(AA28:AA83,"=26615678",U28:U83)</f>
        <v>665.7902259999998</v>
      </c>
      <c r="AI85" s="2">
        <f>SUMIF(AA28:AA83,"=26615678",V28:V83)</f>
        <v>0</v>
      </c>
      <c r="AJ85" s="2">
        <f>ROUND(SUMIF(AA28:AA83,"=26615678",W28:W83),2)</f>
        <v>0</v>
      </c>
      <c r="AK85" s="2">
        <f>ROUND(SUMIF(AA28:AA83,"=26615678",X28:X83),2)</f>
        <v>84088.7</v>
      </c>
      <c r="AL85" s="2">
        <f>ROUND(SUMIF(AA28:AA83,"=26615678",Y28:Y83),2)</f>
        <v>12012.66</v>
      </c>
      <c r="AM85" s="2"/>
      <c r="AN85" s="2"/>
      <c r="AO85" s="2">
        <f aca="true" t="shared" si="90" ref="AO85:AZ85">ROUND(BB85,2)</f>
        <v>0</v>
      </c>
      <c r="AP85" s="2">
        <f t="shared" si="90"/>
        <v>0</v>
      </c>
      <c r="AQ85" s="2">
        <f t="shared" si="90"/>
        <v>0</v>
      </c>
      <c r="AR85" s="2">
        <f t="shared" si="90"/>
        <v>763826.74</v>
      </c>
      <c r="AS85" s="2">
        <f t="shared" si="90"/>
        <v>0</v>
      </c>
      <c r="AT85" s="2">
        <f t="shared" si="90"/>
        <v>0</v>
      </c>
      <c r="AU85" s="2">
        <f t="shared" si="90"/>
        <v>763826.74</v>
      </c>
      <c r="AV85" s="2">
        <f t="shared" si="90"/>
        <v>545753.61</v>
      </c>
      <c r="AW85" s="2">
        <f t="shared" si="90"/>
        <v>545753.61</v>
      </c>
      <c r="AX85" s="2">
        <f t="shared" si="90"/>
        <v>0</v>
      </c>
      <c r="AY85" s="2">
        <f t="shared" si="90"/>
        <v>545753.61</v>
      </c>
      <c r="AZ85" s="2">
        <f t="shared" si="90"/>
        <v>0</v>
      </c>
      <c r="BA85" s="2"/>
      <c r="BB85" s="2">
        <f>ROUND(SUMIF(AA28:AA83,"=26615678",FQ28:FQ83),2)</f>
        <v>0</v>
      </c>
      <c r="BC85" s="2">
        <f>ROUND(SUMIF(AA28:AA83,"=26615678",FR28:FR83),2)</f>
        <v>0</v>
      </c>
      <c r="BD85" s="2">
        <f>ROUND(SUMIF(AA28:AA83,"=26615678",GL28:GL83),2)</f>
        <v>0</v>
      </c>
      <c r="BE85" s="2">
        <f>ROUND(SUMIF(AA28:AA83,"=26615678",GM28:GM83),2)</f>
        <v>763826.74</v>
      </c>
      <c r="BF85" s="2">
        <f>ROUND(SUMIF(AA28:AA83,"=26615678",GN28:GN83),2)</f>
        <v>0</v>
      </c>
      <c r="BG85" s="2">
        <f>ROUND(SUMIF(AA28:AA83,"=26615678",GO28:GO83),2)</f>
        <v>0</v>
      </c>
      <c r="BH85" s="2">
        <f>ROUND(SUMIF(AA28:AA83,"=26615678",GP28:GP83),2)</f>
        <v>763826.74</v>
      </c>
      <c r="BI85" s="2">
        <f>AC85-BB85</f>
        <v>545753.61</v>
      </c>
      <c r="BJ85" s="2">
        <f>AC85-BC85</f>
        <v>545753.61</v>
      </c>
      <c r="BK85" s="2">
        <f>BB85-BD85</f>
        <v>0</v>
      </c>
      <c r="BL85" s="2">
        <f>AC85-BB85-BC85+BD85</f>
        <v>545753.61</v>
      </c>
      <c r="BM85" s="2">
        <f>BC85-BD85</f>
        <v>0</v>
      </c>
      <c r="BN85" s="2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>
        <v>0</v>
      </c>
    </row>
    <row r="87" spans="1:16" ht="12.75">
      <c r="A87" s="4">
        <v>50</v>
      </c>
      <c r="B87" s="4">
        <v>0</v>
      </c>
      <c r="C87" s="4">
        <v>0</v>
      </c>
      <c r="D87" s="4">
        <v>1</v>
      </c>
      <c r="E87" s="4">
        <v>201</v>
      </c>
      <c r="F87" s="4">
        <f>ROUND(Source!O85,O87)</f>
        <v>667419.05</v>
      </c>
      <c r="G87" s="4" t="s">
        <v>209</v>
      </c>
      <c r="H87" s="4" t="s">
        <v>210</v>
      </c>
      <c r="I87" s="4"/>
      <c r="J87" s="4"/>
      <c r="K87" s="4">
        <v>201</v>
      </c>
      <c r="L87" s="4">
        <v>1</v>
      </c>
      <c r="M87" s="4">
        <v>3</v>
      </c>
      <c r="N87" s="4" t="s">
        <v>3</v>
      </c>
      <c r="O87" s="4">
        <v>2</v>
      </c>
      <c r="P87" s="4"/>
    </row>
    <row r="88" spans="1:16" ht="12.75">
      <c r="A88" s="4">
        <v>50</v>
      </c>
      <c r="B88" s="4">
        <v>0</v>
      </c>
      <c r="C88" s="4">
        <v>0</v>
      </c>
      <c r="D88" s="4">
        <v>1</v>
      </c>
      <c r="E88" s="4">
        <v>202</v>
      </c>
      <c r="F88" s="4">
        <f>ROUND(Source!P85,O88)</f>
        <v>545753.61</v>
      </c>
      <c r="G88" s="4" t="s">
        <v>211</v>
      </c>
      <c r="H88" s="4" t="s">
        <v>212</v>
      </c>
      <c r="I88" s="4"/>
      <c r="J88" s="4"/>
      <c r="K88" s="4">
        <v>202</v>
      </c>
      <c r="L88" s="4">
        <v>2</v>
      </c>
      <c r="M88" s="4">
        <v>3</v>
      </c>
      <c r="N88" s="4" t="s">
        <v>3</v>
      </c>
      <c r="O88" s="4">
        <v>2</v>
      </c>
      <c r="P88" s="4"/>
    </row>
    <row r="89" spans="1:16" ht="12.75">
      <c r="A89" s="4">
        <v>50</v>
      </c>
      <c r="B89" s="4">
        <v>0</v>
      </c>
      <c r="C89" s="4">
        <v>0</v>
      </c>
      <c r="D89" s="4">
        <v>1</v>
      </c>
      <c r="E89" s="4">
        <v>222</v>
      </c>
      <c r="F89" s="4">
        <f>ROUND(Source!AO85,O89)</f>
        <v>0</v>
      </c>
      <c r="G89" s="4" t="s">
        <v>213</v>
      </c>
      <c r="H89" s="4" t="s">
        <v>214</v>
      </c>
      <c r="I89" s="4"/>
      <c r="J89" s="4"/>
      <c r="K89" s="4">
        <v>222</v>
      </c>
      <c r="L89" s="4">
        <v>3</v>
      </c>
      <c r="M89" s="4">
        <v>3</v>
      </c>
      <c r="N89" s="4" t="s">
        <v>3</v>
      </c>
      <c r="O89" s="4">
        <v>2</v>
      </c>
      <c r="P89" s="4"/>
    </row>
    <row r="90" spans="1:16" ht="12.75">
      <c r="A90" s="4">
        <v>50</v>
      </c>
      <c r="B90" s="4">
        <v>0</v>
      </c>
      <c r="C90" s="4">
        <v>0</v>
      </c>
      <c r="D90" s="4">
        <v>1</v>
      </c>
      <c r="E90" s="4">
        <v>225</v>
      </c>
      <c r="F90" s="4">
        <f>ROUND(Source!AV85,O90)</f>
        <v>545753.61</v>
      </c>
      <c r="G90" s="4" t="s">
        <v>215</v>
      </c>
      <c r="H90" s="4" t="s">
        <v>216</v>
      </c>
      <c r="I90" s="4"/>
      <c r="J90" s="4"/>
      <c r="K90" s="4">
        <v>225</v>
      </c>
      <c r="L90" s="4">
        <v>4</v>
      </c>
      <c r="M90" s="4">
        <v>3</v>
      </c>
      <c r="N90" s="4" t="s">
        <v>3</v>
      </c>
      <c r="O90" s="4">
        <v>2</v>
      </c>
      <c r="P90" s="4"/>
    </row>
    <row r="91" spans="1:16" ht="12.75">
      <c r="A91" s="4">
        <v>50</v>
      </c>
      <c r="B91" s="4">
        <v>0</v>
      </c>
      <c r="C91" s="4">
        <v>0</v>
      </c>
      <c r="D91" s="4">
        <v>1</v>
      </c>
      <c r="E91" s="4">
        <v>226</v>
      </c>
      <c r="F91" s="4">
        <f>ROUND(Source!AW85,O91)</f>
        <v>545753.61</v>
      </c>
      <c r="G91" s="4" t="s">
        <v>217</v>
      </c>
      <c r="H91" s="4" t="s">
        <v>218</v>
      </c>
      <c r="I91" s="4"/>
      <c r="J91" s="4"/>
      <c r="K91" s="4">
        <v>226</v>
      </c>
      <c r="L91" s="4">
        <v>5</v>
      </c>
      <c r="M91" s="4">
        <v>3</v>
      </c>
      <c r="N91" s="4" t="s">
        <v>3</v>
      </c>
      <c r="O91" s="4">
        <v>2</v>
      </c>
      <c r="P91" s="4"/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227</v>
      </c>
      <c r="F92" s="4">
        <f>ROUND(Source!AX85,O92)</f>
        <v>0</v>
      </c>
      <c r="G92" s="4" t="s">
        <v>219</v>
      </c>
      <c r="H92" s="4" t="s">
        <v>220</v>
      </c>
      <c r="I92" s="4"/>
      <c r="J92" s="4"/>
      <c r="K92" s="4">
        <v>227</v>
      </c>
      <c r="L92" s="4">
        <v>6</v>
      </c>
      <c r="M92" s="4">
        <v>3</v>
      </c>
      <c r="N92" s="4" t="s">
        <v>3</v>
      </c>
      <c r="O92" s="4">
        <v>2</v>
      </c>
      <c r="P92" s="4"/>
    </row>
    <row r="93" spans="1:16" ht="12.75">
      <c r="A93" s="4">
        <v>50</v>
      </c>
      <c r="B93" s="4">
        <v>0</v>
      </c>
      <c r="C93" s="4">
        <v>0</v>
      </c>
      <c r="D93" s="4">
        <v>1</v>
      </c>
      <c r="E93" s="4">
        <v>228</v>
      </c>
      <c r="F93" s="4">
        <f>ROUND(Source!AY85,O93)</f>
        <v>545753.61</v>
      </c>
      <c r="G93" s="4" t="s">
        <v>221</v>
      </c>
      <c r="H93" s="4" t="s">
        <v>222</v>
      </c>
      <c r="I93" s="4"/>
      <c r="J93" s="4"/>
      <c r="K93" s="4">
        <v>228</v>
      </c>
      <c r="L93" s="4">
        <v>7</v>
      </c>
      <c r="M93" s="4">
        <v>3</v>
      </c>
      <c r="N93" s="4" t="s">
        <v>3</v>
      </c>
      <c r="O93" s="4">
        <v>2</v>
      </c>
      <c r="P93" s="4"/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216</v>
      </c>
      <c r="F94" s="4">
        <f>ROUND(Source!AP85,O94)</f>
        <v>0</v>
      </c>
      <c r="G94" s="4" t="s">
        <v>223</v>
      </c>
      <c r="H94" s="4" t="s">
        <v>224</v>
      </c>
      <c r="I94" s="4"/>
      <c r="J94" s="4"/>
      <c r="K94" s="4">
        <v>216</v>
      </c>
      <c r="L94" s="4">
        <v>8</v>
      </c>
      <c r="M94" s="4">
        <v>3</v>
      </c>
      <c r="N94" s="4" t="s">
        <v>3</v>
      </c>
      <c r="O94" s="4">
        <v>2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223</v>
      </c>
      <c r="F95" s="4">
        <f>ROUND(Source!AQ85,O95)</f>
        <v>0</v>
      </c>
      <c r="G95" s="4" t="s">
        <v>225</v>
      </c>
      <c r="H95" s="4" t="s">
        <v>226</v>
      </c>
      <c r="I95" s="4"/>
      <c r="J95" s="4"/>
      <c r="K95" s="4">
        <v>223</v>
      </c>
      <c r="L95" s="4">
        <v>9</v>
      </c>
      <c r="M95" s="4">
        <v>3</v>
      </c>
      <c r="N95" s="4" t="s">
        <v>3</v>
      </c>
      <c r="O95" s="4">
        <v>2</v>
      </c>
      <c r="P95" s="4"/>
    </row>
    <row r="96" spans="1:16" ht="12.75">
      <c r="A96" s="4">
        <v>50</v>
      </c>
      <c r="B96" s="4">
        <v>0</v>
      </c>
      <c r="C96" s="4">
        <v>0</v>
      </c>
      <c r="D96" s="4">
        <v>1</v>
      </c>
      <c r="E96" s="4">
        <v>229</v>
      </c>
      <c r="F96" s="4">
        <f>ROUND(Source!AZ85,O96)</f>
        <v>0</v>
      </c>
      <c r="G96" s="4" t="s">
        <v>227</v>
      </c>
      <c r="H96" s="4" t="s">
        <v>228</v>
      </c>
      <c r="I96" s="4"/>
      <c r="J96" s="4"/>
      <c r="K96" s="4">
        <v>229</v>
      </c>
      <c r="L96" s="4">
        <v>10</v>
      </c>
      <c r="M96" s="4">
        <v>3</v>
      </c>
      <c r="N96" s="4" t="s">
        <v>3</v>
      </c>
      <c r="O96" s="4">
        <v>2</v>
      </c>
      <c r="P96" s="4"/>
    </row>
    <row r="97" spans="1:16" ht="12.75">
      <c r="A97" s="4">
        <v>50</v>
      </c>
      <c r="B97" s="4">
        <v>0</v>
      </c>
      <c r="C97" s="4">
        <v>0</v>
      </c>
      <c r="D97" s="4">
        <v>1</v>
      </c>
      <c r="E97" s="4">
        <v>203</v>
      </c>
      <c r="F97" s="4">
        <f>ROUND(Source!Q85,O97)</f>
        <v>1538.75</v>
      </c>
      <c r="G97" s="4" t="s">
        <v>229</v>
      </c>
      <c r="H97" s="4" t="s">
        <v>230</v>
      </c>
      <c r="I97" s="4"/>
      <c r="J97" s="4"/>
      <c r="K97" s="4">
        <v>203</v>
      </c>
      <c r="L97" s="4">
        <v>11</v>
      </c>
      <c r="M97" s="4">
        <v>3</v>
      </c>
      <c r="N97" s="4" t="s">
        <v>3</v>
      </c>
      <c r="O97" s="4">
        <v>2</v>
      </c>
      <c r="P97" s="4"/>
    </row>
    <row r="98" spans="1:16" ht="12.75">
      <c r="A98" s="4">
        <v>50</v>
      </c>
      <c r="B98" s="4">
        <v>0</v>
      </c>
      <c r="C98" s="4">
        <v>0</v>
      </c>
      <c r="D98" s="4">
        <v>1</v>
      </c>
      <c r="E98" s="4">
        <v>204</v>
      </c>
      <c r="F98" s="4">
        <f>ROUND(Source!R85,O98)</f>
        <v>283.65</v>
      </c>
      <c r="G98" s="4" t="s">
        <v>231</v>
      </c>
      <c r="H98" s="4" t="s">
        <v>232</v>
      </c>
      <c r="I98" s="4"/>
      <c r="J98" s="4"/>
      <c r="K98" s="4">
        <v>204</v>
      </c>
      <c r="L98" s="4">
        <v>12</v>
      </c>
      <c r="M98" s="4">
        <v>3</v>
      </c>
      <c r="N98" s="4" t="s">
        <v>3</v>
      </c>
      <c r="O98" s="4">
        <v>2</v>
      </c>
      <c r="P98" s="4"/>
    </row>
    <row r="99" spans="1:16" ht="12.75">
      <c r="A99" s="4">
        <v>50</v>
      </c>
      <c r="B99" s="4">
        <v>0</v>
      </c>
      <c r="C99" s="4">
        <v>0</v>
      </c>
      <c r="D99" s="4">
        <v>1</v>
      </c>
      <c r="E99" s="4">
        <v>205</v>
      </c>
      <c r="F99" s="4">
        <f>ROUND(Source!S85,O99)</f>
        <v>120126.69</v>
      </c>
      <c r="G99" s="4" t="s">
        <v>233</v>
      </c>
      <c r="H99" s="4" t="s">
        <v>234</v>
      </c>
      <c r="I99" s="4"/>
      <c r="J99" s="4"/>
      <c r="K99" s="4">
        <v>205</v>
      </c>
      <c r="L99" s="4">
        <v>13</v>
      </c>
      <c r="M99" s="4">
        <v>3</v>
      </c>
      <c r="N99" s="4" t="s">
        <v>3</v>
      </c>
      <c r="O99" s="4">
        <v>2</v>
      </c>
      <c r="P99" s="4"/>
    </row>
    <row r="100" spans="1:16" ht="12.75">
      <c r="A100" s="4">
        <v>50</v>
      </c>
      <c r="B100" s="4">
        <v>0</v>
      </c>
      <c r="C100" s="4">
        <v>0</v>
      </c>
      <c r="D100" s="4">
        <v>1</v>
      </c>
      <c r="E100" s="4">
        <v>214</v>
      </c>
      <c r="F100" s="4">
        <f>ROUND(Source!AS85,O100)</f>
        <v>0</v>
      </c>
      <c r="G100" s="4" t="s">
        <v>235</v>
      </c>
      <c r="H100" s="4" t="s">
        <v>236</v>
      </c>
      <c r="I100" s="4"/>
      <c r="J100" s="4"/>
      <c r="K100" s="4">
        <v>214</v>
      </c>
      <c r="L100" s="4">
        <v>14</v>
      </c>
      <c r="M100" s="4">
        <v>3</v>
      </c>
      <c r="N100" s="4" t="s">
        <v>3</v>
      </c>
      <c r="O100" s="4">
        <v>2</v>
      </c>
      <c r="P100" s="4"/>
    </row>
    <row r="101" spans="1:16" ht="12.75">
      <c r="A101" s="4">
        <v>50</v>
      </c>
      <c r="B101" s="4">
        <v>0</v>
      </c>
      <c r="C101" s="4">
        <v>0</v>
      </c>
      <c r="D101" s="4">
        <v>1</v>
      </c>
      <c r="E101" s="4">
        <v>215</v>
      </c>
      <c r="F101" s="4">
        <f>ROUND(Source!AT85,O101)</f>
        <v>0</v>
      </c>
      <c r="G101" s="4" t="s">
        <v>237</v>
      </c>
      <c r="H101" s="4" t="s">
        <v>238</v>
      </c>
      <c r="I101" s="4"/>
      <c r="J101" s="4"/>
      <c r="K101" s="4">
        <v>215</v>
      </c>
      <c r="L101" s="4">
        <v>15</v>
      </c>
      <c r="M101" s="4">
        <v>3</v>
      </c>
      <c r="N101" s="4" t="s">
        <v>3</v>
      </c>
      <c r="O101" s="4">
        <v>2</v>
      </c>
      <c r="P101" s="4"/>
    </row>
    <row r="102" spans="1:16" ht="12.75">
      <c r="A102" s="4">
        <v>50</v>
      </c>
      <c r="B102" s="4">
        <v>0</v>
      </c>
      <c r="C102" s="4">
        <v>0</v>
      </c>
      <c r="D102" s="4">
        <v>1</v>
      </c>
      <c r="E102" s="4">
        <v>217</v>
      </c>
      <c r="F102" s="4">
        <f>ROUND(Source!AU85,O102)</f>
        <v>763826.74</v>
      </c>
      <c r="G102" s="4" t="s">
        <v>239</v>
      </c>
      <c r="H102" s="4" t="s">
        <v>240</v>
      </c>
      <c r="I102" s="4"/>
      <c r="J102" s="4"/>
      <c r="K102" s="4">
        <v>217</v>
      </c>
      <c r="L102" s="4">
        <v>16</v>
      </c>
      <c r="M102" s="4">
        <v>3</v>
      </c>
      <c r="N102" s="4" t="s">
        <v>3</v>
      </c>
      <c r="O102" s="4">
        <v>2</v>
      </c>
      <c r="P102" s="4"/>
    </row>
    <row r="103" spans="1:16" ht="12.75">
      <c r="A103" s="4">
        <v>50</v>
      </c>
      <c r="B103" s="4">
        <v>0</v>
      </c>
      <c r="C103" s="4">
        <v>0</v>
      </c>
      <c r="D103" s="4">
        <v>1</v>
      </c>
      <c r="E103" s="4">
        <v>206</v>
      </c>
      <c r="F103" s="4">
        <f>ROUND(Source!T85,O103)</f>
        <v>0</v>
      </c>
      <c r="G103" s="4" t="s">
        <v>241</v>
      </c>
      <c r="H103" s="4" t="s">
        <v>242</v>
      </c>
      <c r="I103" s="4"/>
      <c r="J103" s="4"/>
      <c r="K103" s="4">
        <v>206</v>
      </c>
      <c r="L103" s="4">
        <v>17</v>
      </c>
      <c r="M103" s="4">
        <v>3</v>
      </c>
      <c r="N103" s="4" t="s">
        <v>3</v>
      </c>
      <c r="O103" s="4">
        <v>2</v>
      </c>
      <c r="P103" s="4"/>
    </row>
    <row r="104" spans="1:16" ht="12.75">
      <c r="A104" s="4">
        <v>50</v>
      </c>
      <c r="B104" s="4">
        <v>0</v>
      </c>
      <c r="C104" s="4">
        <v>0</v>
      </c>
      <c r="D104" s="4">
        <v>1</v>
      </c>
      <c r="E104" s="4">
        <v>207</v>
      </c>
      <c r="F104" s="4">
        <f>Source!U85</f>
        <v>665.7902259999998</v>
      </c>
      <c r="G104" s="4" t="s">
        <v>243</v>
      </c>
      <c r="H104" s="4" t="s">
        <v>244</v>
      </c>
      <c r="I104" s="4"/>
      <c r="J104" s="4"/>
      <c r="K104" s="4">
        <v>207</v>
      </c>
      <c r="L104" s="4">
        <v>18</v>
      </c>
      <c r="M104" s="4">
        <v>3</v>
      </c>
      <c r="N104" s="4" t="s">
        <v>3</v>
      </c>
      <c r="O104" s="4">
        <v>-1</v>
      </c>
      <c r="P104" s="4"/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208</v>
      </c>
      <c r="F105" s="4">
        <f>Source!V85</f>
        <v>0</v>
      </c>
      <c r="G105" s="4" t="s">
        <v>245</v>
      </c>
      <c r="H105" s="4" t="s">
        <v>246</v>
      </c>
      <c r="I105" s="4"/>
      <c r="J105" s="4"/>
      <c r="K105" s="4">
        <v>208</v>
      </c>
      <c r="L105" s="4">
        <v>19</v>
      </c>
      <c r="M105" s="4">
        <v>3</v>
      </c>
      <c r="N105" s="4" t="s">
        <v>3</v>
      </c>
      <c r="O105" s="4">
        <v>-1</v>
      </c>
      <c r="P105" s="4"/>
    </row>
    <row r="106" spans="1:16" ht="12.75">
      <c r="A106" s="4">
        <v>50</v>
      </c>
      <c r="B106" s="4">
        <v>0</v>
      </c>
      <c r="C106" s="4">
        <v>0</v>
      </c>
      <c r="D106" s="4">
        <v>1</v>
      </c>
      <c r="E106" s="4">
        <v>209</v>
      </c>
      <c r="F106" s="4">
        <f>ROUND(Source!W85,O106)</f>
        <v>0</v>
      </c>
      <c r="G106" s="4" t="s">
        <v>247</v>
      </c>
      <c r="H106" s="4" t="s">
        <v>248</v>
      </c>
      <c r="I106" s="4"/>
      <c r="J106" s="4"/>
      <c r="K106" s="4">
        <v>209</v>
      </c>
      <c r="L106" s="4">
        <v>20</v>
      </c>
      <c r="M106" s="4">
        <v>3</v>
      </c>
      <c r="N106" s="4" t="s">
        <v>3</v>
      </c>
      <c r="O106" s="4">
        <v>2</v>
      </c>
      <c r="P106" s="4"/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210</v>
      </c>
      <c r="F107" s="4">
        <f>ROUND(Source!X85,O107)</f>
        <v>84088.7</v>
      </c>
      <c r="G107" s="4" t="s">
        <v>249</v>
      </c>
      <c r="H107" s="4" t="s">
        <v>250</v>
      </c>
      <c r="I107" s="4"/>
      <c r="J107" s="4"/>
      <c r="K107" s="4">
        <v>210</v>
      </c>
      <c r="L107" s="4">
        <v>21</v>
      </c>
      <c r="M107" s="4">
        <v>3</v>
      </c>
      <c r="N107" s="4" t="s">
        <v>3</v>
      </c>
      <c r="O107" s="4">
        <v>2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211</v>
      </c>
      <c r="F108" s="4">
        <f>ROUND(Source!Y85,O108)</f>
        <v>12012.66</v>
      </c>
      <c r="G108" s="4" t="s">
        <v>251</v>
      </c>
      <c r="H108" s="4" t="s">
        <v>252</v>
      </c>
      <c r="I108" s="4"/>
      <c r="J108" s="4"/>
      <c r="K108" s="4">
        <v>211</v>
      </c>
      <c r="L108" s="4">
        <v>22</v>
      </c>
      <c r="M108" s="4">
        <v>3</v>
      </c>
      <c r="N108" s="4" t="s">
        <v>3</v>
      </c>
      <c r="O108" s="4">
        <v>2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224</v>
      </c>
      <c r="F109" s="4">
        <f>ROUND(Source!AR85,O109)</f>
        <v>763826.74</v>
      </c>
      <c r="G109" s="4" t="s">
        <v>253</v>
      </c>
      <c r="H109" s="4" t="s">
        <v>254</v>
      </c>
      <c r="I109" s="4"/>
      <c r="J109" s="4"/>
      <c r="K109" s="4">
        <v>224</v>
      </c>
      <c r="L109" s="4">
        <v>23</v>
      </c>
      <c r="M109" s="4">
        <v>3</v>
      </c>
      <c r="N109" s="4" t="s">
        <v>3</v>
      </c>
      <c r="O109" s="4">
        <v>2</v>
      </c>
      <c r="P109" s="4"/>
    </row>
    <row r="111" spans="1:88" ht="12.75">
      <c r="A111" s="1">
        <v>4</v>
      </c>
      <c r="B111" s="1">
        <v>1</v>
      </c>
      <c r="C111" s="1"/>
      <c r="D111" s="1">
        <f>ROW(A122)</f>
        <v>122</v>
      </c>
      <c r="E111" s="1"/>
      <c r="F111" s="1" t="s">
        <v>12</v>
      </c>
      <c r="G111" s="1" t="s">
        <v>255</v>
      </c>
      <c r="H111" s="1" t="s">
        <v>3</v>
      </c>
      <c r="I111" s="1">
        <v>0</v>
      </c>
      <c r="J111" s="1"/>
      <c r="K111" s="1"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 t="s">
        <v>3</v>
      </c>
      <c r="V111" s="1">
        <v>0</v>
      </c>
      <c r="W111" s="1"/>
      <c r="X111" s="1"/>
      <c r="Y111" s="1"/>
      <c r="Z111" s="1"/>
      <c r="AA111" s="1"/>
      <c r="AB111" s="1" t="s">
        <v>3</v>
      </c>
      <c r="AC111" s="1" t="s">
        <v>3</v>
      </c>
      <c r="AD111" s="1" t="s">
        <v>3</v>
      </c>
      <c r="AE111" s="1" t="s">
        <v>3</v>
      </c>
      <c r="AF111" s="1" t="s">
        <v>3</v>
      </c>
      <c r="AG111" s="1" t="s">
        <v>3</v>
      </c>
      <c r="AH111" s="1"/>
      <c r="AI111" s="1"/>
      <c r="AJ111" s="1"/>
      <c r="AK111" s="1"/>
      <c r="AL111" s="1"/>
      <c r="AM111" s="1"/>
      <c r="AN111" s="1"/>
      <c r="AO111" s="1"/>
      <c r="AP111" s="1" t="s">
        <v>3</v>
      </c>
      <c r="AQ111" s="1" t="s">
        <v>3</v>
      </c>
      <c r="AR111" s="1" t="s">
        <v>3</v>
      </c>
      <c r="AS111" s="1"/>
      <c r="AT111" s="1"/>
      <c r="AU111" s="1"/>
      <c r="AV111" s="1"/>
      <c r="AW111" s="1"/>
      <c r="AX111" s="1"/>
      <c r="AY111" s="1"/>
      <c r="AZ111" s="1" t="s">
        <v>3</v>
      </c>
      <c r="BA111" s="1"/>
      <c r="BB111" s="1" t="s">
        <v>3</v>
      </c>
      <c r="BC111" s="1" t="s">
        <v>3</v>
      </c>
      <c r="BD111" s="1" t="s">
        <v>3</v>
      </c>
      <c r="BE111" s="1" t="s">
        <v>3</v>
      </c>
      <c r="BF111" s="1" t="s">
        <v>3</v>
      </c>
      <c r="BG111" s="1" t="s">
        <v>3</v>
      </c>
      <c r="BH111" s="1" t="s">
        <v>3</v>
      </c>
      <c r="BI111" s="1" t="s">
        <v>3</v>
      </c>
      <c r="BJ111" s="1" t="s">
        <v>3</v>
      </c>
      <c r="BK111" s="1" t="s">
        <v>3</v>
      </c>
      <c r="BL111" s="1" t="s">
        <v>3</v>
      </c>
      <c r="BM111" s="1" t="s">
        <v>3</v>
      </c>
      <c r="BN111" s="1" t="s">
        <v>3</v>
      </c>
      <c r="BO111" s="1" t="s">
        <v>3</v>
      </c>
      <c r="BP111" s="1" t="s">
        <v>3</v>
      </c>
      <c r="BQ111" s="1"/>
      <c r="BR111" s="1"/>
      <c r="BS111" s="1"/>
      <c r="BT111" s="1"/>
      <c r="BU111" s="1"/>
      <c r="BV111" s="1"/>
      <c r="BW111" s="1"/>
      <c r="BX111" s="1"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>
        <v>0</v>
      </c>
    </row>
    <row r="113" spans="1:118" ht="12.75">
      <c r="A113" s="2">
        <v>52</v>
      </c>
      <c r="B113" s="2">
        <f aca="true" t="shared" si="91" ref="B113:G113">B122</f>
        <v>1</v>
      </c>
      <c r="C113" s="2">
        <f t="shared" si="91"/>
        <v>4</v>
      </c>
      <c r="D113" s="2">
        <f t="shared" si="91"/>
        <v>111</v>
      </c>
      <c r="E113" s="2">
        <f t="shared" si="91"/>
        <v>0</v>
      </c>
      <c r="F113" s="2" t="str">
        <f t="shared" si="91"/>
        <v>Новый раздел</v>
      </c>
      <c r="G113" s="2" t="str">
        <f t="shared" si="91"/>
        <v>Демонтажные работы</v>
      </c>
      <c r="H113" s="2"/>
      <c r="I113" s="2"/>
      <c r="J113" s="2"/>
      <c r="K113" s="2"/>
      <c r="L113" s="2"/>
      <c r="M113" s="2"/>
      <c r="N113" s="2"/>
      <c r="O113" s="2">
        <f aca="true" t="shared" si="92" ref="O113:AT113">O122</f>
        <v>16267.23</v>
      </c>
      <c r="P113" s="2">
        <f t="shared" si="92"/>
        <v>2827.89</v>
      </c>
      <c r="Q113" s="2">
        <f t="shared" si="92"/>
        <v>0</v>
      </c>
      <c r="R113" s="2">
        <f t="shared" si="92"/>
        <v>0</v>
      </c>
      <c r="S113" s="2">
        <f t="shared" si="92"/>
        <v>13439.34</v>
      </c>
      <c r="T113" s="2">
        <f t="shared" si="92"/>
        <v>0</v>
      </c>
      <c r="U113" s="2">
        <f t="shared" si="92"/>
        <v>78.57509999999999</v>
      </c>
      <c r="V113" s="2">
        <f t="shared" si="92"/>
        <v>0</v>
      </c>
      <c r="W113" s="2">
        <f t="shared" si="92"/>
        <v>0</v>
      </c>
      <c r="X113" s="2">
        <f t="shared" si="92"/>
        <v>9407.53</v>
      </c>
      <c r="Y113" s="2">
        <f t="shared" si="92"/>
        <v>1343.93</v>
      </c>
      <c r="Z113" s="2">
        <f t="shared" si="92"/>
        <v>0</v>
      </c>
      <c r="AA113" s="2">
        <f t="shared" si="92"/>
        <v>0</v>
      </c>
      <c r="AB113" s="2">
        <f t="shared" si="92"/>
        <v>16267.23</v>
      </c>
      <c r="AC113" s="2">
        <f t="shared" si="92"/>
        <v>2827.89</v>
      </c>
      <c r="AD113" s="2">
        <f t="shared" si="92"/>
        <v>0</v>
      </c>
      <c r="AE113" s="2">
        <f t="shared" si="92"/>
        <v>0</v>
      </c>
      <c r="AF113" s="2">
        <f t="shared" si="92"/>
        <v>13439.34</v>
      </c>
      <c r="AG113" s="2">
        <f t="shared" si="92"/>
        <v>0</v>
      </c>
      <c r="AH113" s="2">
        <f t="shared" si="92"/>
        <v>78.57509999999999</v>
      </c>
      <c r="AI113" s="2">
        <f t="shared" si="92"/>
        <v>0</v>
      </c>
      <c r="AJ113" s="2">
        <f t="shared" si="92"/>
        <v>0</v>
      </c>
      <c r="AK113" s="2">
        <f t="shared" si="92"/>
        <v>9407.53</v>
      </c>
      <c r="AL113" s="2">
        <f t="shared" si="92"/>
        <v>1343.93</v>
      </c>
      <c r="AM113" s="2">
        <f t="shared" si="92"/>
        <v>0</v>
      </c>
      <c r="AN113" s="2">
        <f t="shared" si="92"/>
        <v>0</v>
      </c>
      <c r="AO113" s="2">
        <f t="shared" si="92"/>
        <v>0</v>
      </c>
      <c r="AP113" s="2">
        <f t="shared" si="92"/>
        <v>0</v>
      </c>
      <c r="AQ113" s="2">
        <f t="shared" si="92"/>
        <v>0</v>
      </c>
      <c r="AR113" s="2">
        <f t="shared" si="92"/>
        <v>27018.69</v>
      </c>
      <c r="AS113" s="2">
        <f t="shared" si="92"/>
        <v>0</v>
      </c>
      <c r="AT113" s="2">
        <f t="shared" si="92"/>
        <v>0</v>
      </c>
      <c r="AU113" s="2">
        <f aca="true" t="shared" si="93" ref="AU113:BZ113">AU122</f>
        <v>27018.69</v>
      </c>
      <c r="AV113" s="2">
        <f t="shared" si="93"/>
        <v>2827.89</v>
      </c>
      <c r="AW113" s="2">
        <f t="shared" si="93"/>
        <v>2827.89</v>
      </c>
      <c r="AX113" s="2">
        <f t="shared" si="93"/>
        <v>0</v>
      </c>
      <c r="AY113" s="2">
        <f t="shared" si="93"/>
        <v>2827.89</v>
      </c>
      <c r="AZ113" s="2">
        <f t="shared" si="93"/>
        <v>0</v>
      </c>
      <c r="BA113" s="2">
        <f t="shared" si="93"/>
        <v>0</v>
      </c>
      <c r="BB113" s="2">
        <f t="shared" si="93"/>
        <v>0</v>
      </c>
      <c r="BC113" s="2">
        <f t="shared" si="93"/>
        <v>0</v>
      </c>
      <c r="BD113" s="2">
        <f t="shared" si="93"/>
        <v>0</v>
      </c>
      <c r="BE113" s="2">
        <f t="shared" si="93"/>
        <v>27018.69</v>
      </c>
      <c r="BF113" s="2">
        <f t="shared" si="93"/>
        <v>0</v>
      </c>
      <c r="BG113" s="2">
        <f t="shared" si="93"/>
        <v>0</v>
      </c>
      <c r="BH113" s="2">
        <f t="shared" si="93"/>
        <v>27018.69</v>
      </c>
      <c r="BI113" s="2">
        <f t="shared" si="93"/>
        <v>2827.89</v>
      </c>
      <c r="BJ113" s="2">
        <f t="shared" si="93"/>
        <v>2827.89</v>
      </c>
      <c r="BK113" s="2">
        <f t="shared" si="93"/>
        <v>0</v>
      </c>
      <c r="BL113" s="2">
        <f t="shared" si="93"/>
        <v>2827.89</v>
      </c>
      <c r="BM113" s="2">
        <f t="shared" si="93"/>
        <v>0</v>
      </c>
      <c r="BN113" s="2">
        <f t="shared" si="93"/>
        <v>0</v>
      </c>
      <c r="BO113" s="3">
        <f t="shared" si="93"/>
        <v>0</v>
      </c>
      <c r="BP113" s="3">
        <f t="shared" si="93"/>
        <v>0</v>
      </c>
      <c r="BQ113" s="3">
        <f t="shared" si="93"/>
        <v>0</v>
      </c>
      <c r="BR113" s="3">
        <f t="shared" si="93"/>
        <v>0</v>
      </c>
      <c r="BS113" s="3">
        <f t="shared" si="93"/>
        <v>0</v>
      </c>
      <c r="BT113" s="3">
        <f t="shared" si="93"/>
        <v>0</v>
      </c>
      <c r="BU113" s="3">
        <f t="shared" si="93"/>
        <v>0</v>
      </c>
      <c r="BV113" s="3">
        <f t="shared" si="93"/>
        <v>0</v>
      </c>
      <c r="BW113" s="3">
        <f t="shared" si="93"/>
        <v>0</v>
      </c>
      <c r="BX113" s="3">
        <f t="shared" si="93"/>
        <v>0</v>
      </c>
      <c r="BY113" s="3">
        <f t="shared" si="93"/>
        <v>0</v>
      </c>
      <c r="BZ113" s="3">
        <f t="shared" si="93"/>
        <v>0</v>
      </c>
      <c r="CA113" s="3">
        <f aca="true" t="shared" si="94" ref="CA113:DF113">CA122</f>
        <v>0</v>
      </c>
      <c r="CB113" s="3">
        <f t="shared" si="94"/>
        <v>0</v>
      </c>
      <c r="CC113" s="3">
        <f t="shared" si="94"/>
        <v>0</v>
      </c>
      <c r="CD113" s="3">
        <f t="shared" si="94"/>
        <v>0</v>
      </c>
      <c r="CE113" s="3">
        <f t="shared" si="94"/>
        <v>0</v>
      </c>
      <c r="CF113" s="3">
        <f t="shared" si="94"/>
        <v>0</v>
      </c>
      <c r="CG113" s="3">
        <f t="shared" si="94"/>
        <v>0</v>
      </c>
      <c r="CH113" s="3">
        <f t="shared" si="94"/>
        <v>0</v>
      </c>
      <c r="CI113" s="3">
        <f t="shared" si="94"/>
        <v>0</v>
      </c>
      <c r="CJ113" s="3">
        <f t="shared" si="94"/>
        <v>0</v>
      </c>
      <c r="CK113" s="3">
        <f t="shared" si="94"/>
        <v>0</v>
      </c>
      <c r="CL113" s="3">
        <f t="shared" si="94"/>
        <v>0</v>
      </c>
      <c r="CM113" s="3">
        <f t="shared" si="94"/>
        <v>0</v>
      </c>
      <c r="CN113" s="3">
        <f t="shared" si="94"/>
        <v>0</v>
      </c>
      <c r="CO113" s="3">
        <f t="shared" si="94"/>
        <v>0</v>
      </c>
      <c r="CP113" s="3">
        <f t="shared" si="94"/>
        <v>0</v>
      </c>
      <c r="CQ113" s="3">
        <f t="shared" si="94"/>
        <v>0</v>
      </c>
      <c r="CR113" s="3">
        <f t="shared" si="94"/>
        <v>0</v>
      </c>
      <c r="CS113" s="3">
        <f t="shared" si="94"/>
        <v>0</v>
      </c>
      <c r="CT113" s="3">
        <f t="shared" si="94"/>
        <v>0</v>
      </c>
      <c r="CU113" s="3">
        <f t="shared" si="94"/>
        <v>0</v>
      </c>
      <c r="CV113" s="3">
        <f t="shared" si="94"/>
        <v>0</v>
      </c>
      <c r="CW113" s="3">
        <f t="shared" si="94"/>
        <v>0</v>
      </c>
      <c r="CX113" s="3">
        <f t="shared" si="94"/>
        <v>0</v>
      </c>
      <c r="CY113" s="3">
        <f t="shared" si="94"/>
        <v>0</v>
      </c>
      <c r="CZ113" s="3">
        <f t="shared" si="94"/>
        <v>0</v>
      </c>
      <c r="DA113" s="3">
        <f t="shared" si="94"/>
        <v>0</v>
      </c>
      <c r="DB113" s="3">
        <f t="shared" si="94"/>
        <v>0</v>
      </c>
      <c r="DC113" s="3">
        <f t="shared" si="94"/>
        <v>0</v>
      </c>
      <c r="DD113" s="3">
        <f t="shared" si="94"/>
        <v>0</v>
      </c>
      <c r="DE113" s="3">
        <f t="shared" si="94"/>
        <v>0</v>
      </c>
      <c r="DF113" s="3">
        <f t="shared" si="94"/>
        <v>0</v>
      </c>
      <c r="DG113" s="3">
        <f aca="true" t="shared" si="95" ref="DG113:DN113">DG122</f>
        <v>0</v>
      </c>
      <c r="DH113" s="3">
        <f t="shared" si="95"/>
        <v>0</v>
      </c>
      <c r="DI113" s="3">
        <f t="shared" si="95"/>
        <v>0</v>
      </c>
      <c r="DJ113" s="3">
        <f t="shared" si="95"/>
        <v>0</v>
      </c>
      <c r="DK113" s="3">
        <f t="shared" si="95"/>
        <v>0</v>
      </c>
      <c r="DL113" s="3">
        <f t="shared" si="95"/>
        <v>0</v>
      </c>
      <c r="DM113" s="3">
        <f t="shared" si="95"/>
        <v>0</v>
      </c>
      <c r="DN113" s="3">
        <f t="shared" si="95"/>
        <v>0</v>
      </c>
    </row>
    <row r="115" spans="1:200" ht="12.75">
      <c r="A115">
        <v>17</v>
      </c>
      <c r="B115">
        <v>1</v>
      </c>
      <c r="C115">
        <f>ROW(SmtRes!A144)</f>
        <v>144</v>
      </c>
      <c r="D115">
        <f>ROW(EtalonRes!A149)</f>
        <v>149</v>
      </c>
      <c r="E115" t="s">
        <v>14</v>
      </c>
      <c r="F115" t="s">
        <v>256</v>
      </c>
      <c r="G115" t="s">
        <v>257</v>
      </c>
      <c r="H115" t="s">
        <v>76</v>
      </c>
      <c r="I115">
        <v>0.8</v>
      </c>
      <c r="J115">
        <v>0</v>
      </c>
      <c r="O115">
        <f aca="true" t="shared" si="96" ref="O115:O120">ROUND(CP115,2)</f>
        <v>3870.22</v>
      </c>
      <c r="P115">
        <f aca="true" t="shared" si="97" ref="P115:P120">ROUND(CQ115*I115,2)</f>
        <v>0</v>
      </c>
      <c r="Q115">
        <f aca="true" t="shared" si="98" ref="Q115:Q120">ROUND(CR115*I115,2)</f>
        <v>0</v>
      </c>
      <c r="R115">
        <f aca="true" t="shared" si="99" ref="R115:R120">ROUND(CS115*I115,2)</f>
        <v>0</v>
      </c>
      <c r="S115">
        <f aca="true" t="shared" si="100" ref="S115:S120">ROUND(CT115*I115,2)</f>
        <v>3870.22</v>
      </c>
      <c r="T115">
        <f aca="true" t="shared" si="101" ref="T115:T120">ROUND(CU115*I115,2)</f>
        <v>0</v>
      </c>
      <c r="U115">
        <f aca="true" t="shared" si="102" ref="U115:U120">CV115*I115</f>
        <v>23.200000000000003</v>
      </c>
      <c r="V115">
        <f aca="true" t="shared" si="103" ref="V115:V120">CW115*I115</f>
        <v>0</v>
      </c>
      <c r="W115">
        <f aca="true" t="shared" si="104" ref="W115:W120">ROUND(CX115*I115,2)</f>
        <v>0</v>
      </c>
      <c r="X115">
        <f aca="true" t="shared" si="105" ref="X115:Y120">ROUND(CY115,2)</f>
        <v>2709.15</v>
      </c>
      <c r="Y115">
        <f t="shared" si="105"/>
        <v>387.02</v>
      </c>
      <c r="AA115">
        <v>26615678</v>
      </c>
      <c r="AB115">
        <f aca="true" t="shared" si="106" ref="AB115:AB120">ROUND((AC115+AD115+AF115),6)</f>
        <v>4837.78</v>
      </c>
      <c r="AC115">
        <f aca="true" t="shared" si="107" ref="AC115:AC120">ROUND((ES115),6)</f>
        <v>0</v>
      </c>
      <c r="AD115">
        <f aca="true" t="shared" si="108" ref="AD115:AD120">ROUND((((ET115)-(EU115))+AE115),6)</f>
        <v>0</v>
      </c>
      <c r="AE115">
        <f aca="true" t="shared" si="109" ref="AE115:AF120">ROUND((EU115),6)</f>
        <v>0</v>
      </c>
      <c r="AF115">
        <f t="shared" si="109"/>
        <v>4837.78</v>
      </c>
      <c r="AG115">
        <f aca="true" t="shared" si="110" ref="AG115:AG120">ROUND((AP115),6)</f>
        <v>0</v>
      </c>
      <c r="AH115">
        <f aca="true" t="shared" si="111" ref="AH115:AI120">(EW115)</f>
        <v>29</v>
      </c>
      <c r="AI115">
        <f t="shared" si="111"/>
        <v>0</v>
      </c>
      <c r="AJ115">
        <f aca="true" t="shared" si="112" ref="AJ115:AJ120">ROUND((AS115),6)</f>
        <v>0</v>
      </c>
      <c r="AK115">
        <v>4837.78</v>
      </c>
      <c r="AL115">
        <v>0</v>
      </c>
      <c r="AM115">
        <v>0</v>
      </c>
      <c r="AN115">
        <v>0</v>
      </c>
      <c r="AO115">
        <v>4837.78</v>
      </c>
      <c r="AP115">
        <v>0</v>
      </c>
      <c r="AQ115">
        <v>29</v>
      </c>
      <c r="AR115">
        <v>0</v>
      </c>
      <c r="AS115">
        <v>0</v>
      </c>
      <c r="AT115">
        <v>70</v>
      </c>
      <c r="AU115">
        <v>10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1</v>
      </c>
      <c r="BH115">
        <v>0</v>
      </c>
      <c r="BI115">
        <v>4</v>
      </c>
      <c r="BJ115" t="s">
        <v>258</v>
      </c>
      <c r="BM115">
        <v>0</v>
      </c>
      <c r="BN115">
        <v>0</v>
      </c>
      <c r="BP115">
        <v>0</v>
      </c>
      <c r="BQ115">
        <v>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Z115">
        <v>70</v>
      </c>
      <c r="CA115">
        <v>10</v>
      </c>
      <c r="CF115">
        <v>0</v>
      </c>
      <c r="CG115">
        <v>0</v>
      </c>
      <c r="CM115">
        <v>0</v>
      </c>
      <c r="CO115">
        <v>0</v>
      </c>
      <c r="CP115">
        <f aca="true" t="shared" si="113" ref="CP115:CP120">(P115+Q115+S115)</f>
        <v>3870.22</v>
      </c>
      <c r="CQ115">
        <f aca="true" t="shared" si="114" ref="CQ115:CQ120">(AC115*BC115*AW115)</f>
        <v>0</v>
      </c>
      <c r="CR115">
        <f aca="true" t="shared" si="115" ref="CR115:CR120">((((ET115)*BB115-(EU115)*BS115)+AE115*BS115)*AV115)</f>
        <v>0</v>
      </c>
      <c r="CS115">
        <f aca="true" t="shared" si="116" ref="CS115:CS120">(AE115*BS115*AV115)</f>
        <v>0</v>
      </c>
      <c r="CT115">
        <f aca="true" t="shared" si="117" ref="CT115:CT120">(AF115*BA115*AV115)</f>
        <v>4837.78</v>
      </c>
      <c r="CU115">
        <f aca="true" t="shared" si="118" ref="CU115:CU120">AG115</f>
        <v>0</v>
      </c>
      <c r="CV115">
        <f aca="true" t="shared" si="119" ref="CV115:CV120">(AH115*AV115)</f>
        <v>29</v>
      </c>
      <c r="CW115">
        <f aca="true" t="shared" si="120" ref="CW115:CX120">AI115</f>
        <v>0</v>
      </c>
      <c r="CX115">
        <f t="shared" si="120"/>
        <v>0</v>
      </c>
      <c r="CY115">
        <f aca="true" t="shared" si="121" ref="CY115:CY120">((S115*BZ115)/100)</f>
        <v>2709.1539999999995</v>
      </c>
      <c r="CZ115">
        <f aca="true" t="shared" si="122" ref="CZ115:CZ120">((S115*CA115)/100)</f>
        <v>387.022</v>
      </c>
      <c r="DN115">
        <v>0</v>
      </c>
      <c r="DO115">
        <v>0</v>
      </c>
      <c r="DP115">
        <v>1</v>
      </c>
      <c r="DQ115">
        <v>1</v>
      </c>
      <c r="DU115">
        <v>1013</v>
      </c>
      <c r="DV115" t="s">
        <v>76</v>
      </c>
      <c r="DW115" t="s">
        <v>76</v>
      </c>
      <c r="DX115">
        <v>1</v>
      </c>
      <c r="EE115">
        <v>25674155</v>
      </c>
      <c r="EF115">
        <v>1</v>
      </c>
      <c r="EG115" t="s">
        <v>19</v>
      </c>
      <c r="EH115">
        <v>0</v>
      </c>
      <c r="EJ115">
        <v>4</v>
      </c>
      <c r="EK115">
        <v>0</v>
      </c>
      <c r="EL115" t="s">
        <v>20</v>
      </c>
      <c r="EM115" t="s">
        <v>21</v>
      </c>
      <c r="EQ115">
        <v>0</v>
      </c>
      <c r="ER115">
        <v>4837.78</v>
      </c>
      <c r="ES115">
        <v>0</v>
      </c>
      <c r="ET115">
        <v>0</v>
      </c>
      <c r="EU115">
        <v>0</v>
      </c>
      <c r="EV115">
        <v>4837.78</v>
      </c>
      <c r="EW115">
        <v>29</v>
      </c>
      <c r="EX115">
        <v>0</v>
      </c>
      <c r="EY115">
        <v>0</v>
      </c>
      <c r="FQ115">
        <v>0</v>
      </c>
      <c r="FR115">
        <f aca="true" t="shared" si="123" ref="FR115:FR120">ROUND(IF(AND(BH115=3,BI115=3),P115,0),2)</f>
        <v>0</v>
      </c>
      <c r="FS115">
        <v>0</v>
      </c>
      <c r="FX115">
        <v>70</v>
      </c>
      <c r="FY115">
        <v>10</v>
      </c>
      <c r="GD115">
        <v>0</v>
      </c>
      <c r="GF115">
        <v>910271467</v>
      </c>
      <c r="GG115">
        <v>2</v>
      </c>
      <c r="GH115">
        <v>1</v>
      </c>
      <c r="GI115">
        <v>-2</v>
      </c>
      <c r="GJ115">
        <v>0</v>
      </c>
      <c r="GK115">
        <f>ROUND(R115*(R12)/100,2)</f>
        <v>0</v>
      </c>
      <c r="GL115">
        <f aca="true" t="shared" si="124" ref="GL115:GL120">ROUND(IF(AND(BH115=3,BI115=3,FS115&lt;&gt;0),P115,0),2)</f>
        <v>0</v>
      </c>
      <c r="GM115">
        <f aca="true" t="shared" si="125" ref="GM115:GM120">O115+X115+Y115+GK115</f>
        <v>6966.389999999999</v>
      </c>
      <c r="GN115">
        <f aca="true" t="shared" si="126" ref="GN115:GN120">ROUND(IF(OR(BI115=0,BI115=1),O115+X115+Y115+GK115,0),2)</f>
        <v>0</v>
      </c>
      <c r="GO115">
        <f aca="true" t="shared" si="127" ref="GO115:GO120">ROUND(IF(BI115=2,O115+X115+Y115+GK115,0),2)</f>
        <v>0</v>
      </c>
      <c r="GP115">
        <f aca="true" t="shared" si="128" ref="GP115:GP120">ROUND(IF(BI115=4,O115+X115+Y115+GK115,0),2)</f>
        <v>6966.39</v>
      </c>
      <c r="GR115">
        <v>0</v>
      </c>
    </row>
    <row r="116" spans="1:200" ht="12.75">
      <c r="A116">
        <v>17</v>
      </c>
      <c r="B116">
        <v>1</v>
      </c>
      <c r="C116">
        <f>ROW(SmtRes!A145)</f>
        <v>145</v>
      </c>
      <c r="D116">
        <f>ROW(EtalonRes!A150)</f>
        <v>150</v>
      </c>
      <c r="E116" t="s">
        <v>27</v>
      </c>
      <c r="F116" t="s">
        <v>259</v>
      </c>
      <c r="G116" t="s">
        <v>260</v>
      </c>
      <c r="H116" t="s">
        <v>76</v>
      </c>
      <c r="I116">
        <v>0.825</v>
      </c>
      <c r="J116">
        <v>0</v>
      </c>
      <c r="O116">
        <f t="shared" si="96"/>
        <v>3239.22</v>
      </c>
      <c r="P116">
        <f t="shared" si="97"/>
        <v>0</v>
      </c>
      <c r="Q116">
        <f t="shared" si="98"/>
        <v>0</v>
      </c>
      <c r="R116">
        <f t="shared" si="99"/>
        <v>0</v>
      </c>
      <c r="S116">
        <f t="shared" si="100"/>
        <v>3239.22</v>
      </c>
      <c r="T116">
        <f t="shared" si="101"/>
        <v>0</v>
      </c>
      <c r="U116">
        <f t="shared" si="102"/>
        <v>18.974999999999998</v>
      </c>
      <c r="V116">
        <f t="shared" si="103"/>
        <v>0</v>
      </c>
      <c r="W116">
        <f t="shared" si="104"/>
        <v>0</v>
      </c>
      <c r="X116">
        <f t="shared" si="105"/>
        <v>2267.45</v>
      </c>
      <c r="Y116">
        <f t="shared" si="105"/>
        <v>323.92</v>
      </c>
      <c r="AA116">
        <v>26615678</v>
      </c>
      <c r="AB116">
        <f t="shared" si="106"/>
        <v>3926.33</v>
      </c>
      <c r="AC116">
        <f t="shared" si="107"/>
        <v>0</v>
      </c>
      <c r="AD116">
        <f t="shared" si="108"/>
        <v>0</v>
      </c>
      <c r="AE116">
        <f t="shared" si="109"/>
        <v>0</v>
      </c>
      <c r="AF116">
        <f t="shared" si="109"/>
        <v>3926.33</v>
      </c>
      <c r="AG116">
        <f t="shared" si="110"/>
        <v>0</v>
      </c>
      <c r="AH116">
        <f t="shared" si="111"/>
        <v>23</v>
      </c>
      <c r="AI116">
        <f t="shared" si="111"/>
        <v>0</v>
      </c>
      <c r="AJ116">
        <f t="shared" si="112"/>
        <v>0</v>
      </c>
      <c r="AK116">
        <v>3926.33</v>
      </c>
      <c r="AL116">
        <v>0</v>
      </c>
      <c r="AM116">
        <v>0</v>
      </c>
      <c r="AN116">
        <v>0</v>
      </c>
      <c r="AO116">
        <v>3926.33</v>
      </c>
      <c r="AP116">
        <v>0</v>
      </c>
      <c r="AQ116">
        <v>23</v>
      </c>
      <c r="AR116">
        <v>0</v>
      </c>
      <c r="AS116">
        <v>0</v>
      </c>
      <c r="AT116">
        <v>70</v>
      </c>
      <c r="AU116">
        <v>10</v>
      </c>
      <c r="AV116">
        <v>1</v>
      </c>
      <c r="AW116">
        <v>1</v>
      </c>
      <c r="AZ116">
        <v>1</v>
      </c>
      <c r="BA116">
        <v>1</v>
      </c>
      <c r="BB116">
        <v>1</v>
      </c>
      <c r="BC116">
        <v>1</v>
      </c>
      <c r="BH116">
        <v>0</v>
      </c>
      <c r="BI116">
        <v>4</v>
      </c>
      <c r="BJ116" t="s">
        <v>261</v>
      </c>
      <c r="BM116">
        <v>0</v>
      </c>
      <c r="BN116">
        <v>0</v>
      </c>
      <c r="BP116">
        <v>0</v>
      </c>
      <c r="BQ116">
        <v>1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70</v>
      </c>
      <c r="CA116">
        <v>10</v>
      </c>
      <c r="CF116">
        <v>0</v>
      </c>
      <c r="CG116">
        <v>0</v>
      </c>
      <c r="CM116">
        <v>0</v>
      </c>
      <c r="CO116">
        <v>0</v>
      </c>
      <c r="CP116">
        <f t="shared" si="113"/>
        <v>3239.22</v>
      </c>
      <c r="CQ116">
        <f t="shared" si="114"/>
        <v>0</v>
      </c>
      <c r="CR116">
        <f t="shared" si="115"/>
        <v>0</v>
      </c>
      <c r="CS116">
        <f t="shared" si="116"/>
        <v>0</v>
      </c>
      <c r="CT116">
        <f t="shared" si="117"/>
        <v>3926.33</v>
      </c>
      <c r="CU116">
        <f t="shared" si="118"/>
        <v>0</v>
      </c>
      <c r="CV116">
        <f t="shared" si="119"/>
        <v>23</v>
      </c>
      <c r="CW116">
        <f t="shared" si="120"/>
        <v>0</v>
      </c>
      <c r="CX116">
        <f t="shared" si="120"/>
        <v>0</v>
      </c>
      <c r="CY116">
        <f t="shared" si="121"/>
        <v>2267.4539999999997</v>
      </c>
      <c r="CZ116">
        <f t="shared" si="122"/>
        <v>323.92199999999997</v>
      </c>
      <c r="DN116">
        <v>0</v>
      </c>
      <c r="DO116">
        <v>0</v>
      </c>
      <c r="DP116">
        <v>1</v>
      </c>
      <c r="DQ116">
        <v>1</v>
      </c>
      <c r="DU116">
        <v>1013</v>
      </c>
      <c r="DV116" t="s">
        <v>76</v>
      </c>
      <c r="DW116" t="s">
        <v>76</v>
      </c>
      <c r="DX116">
        <v>1</v>
      </c>
      <c r="EE116">
        <v>25674155</v>
      </c>
      <c r="EF116">
        <v>1</v>
      </c>
      <c r="EG116" t="s">
        <v>19</v>
      </c>
      <c r="EH116">
        <v>0</v>
      </c>
      <c r="EJ116">
        <v>4</v>
      </c>
      <c r="EK116">
        <v>0</v>
      </c>
      <c r="EL116" t="s">
        <v>20</v>
      </c>
      <c r="EM116" t="s">
        <v>21</v>
      </c>
      <c r="EQ116">
        <v>0</v>
      </c>
      <c r="ER116">
        <v>3926.33</v>
      </c>
      <c r="ES116">
        <v>0</v>
      </c>
      <c r="ET116">
        <v>0</v>
      </c>
      <c r="EU116">
        <v>0</v>
      </c>
      <c r="EV116">
        <v>3926.33</v>
      </c>
      <c r="EW116">
        <v>23</v>
      </c>
      <c r="EX116">
        <v>0</v>
      </c>
      <c r="EY116">
        <v>0</v>
      </c>
      <c r="FQ116">
        <v>0</v>
      </c>
      <c r="FR116">
        <f t="shared" si="123"/>
        <v>0</v>
      </c>
      <c r="FS116">
        <v>0</v>
      </c>
      <c r="FX116">
        <v>70</v>
      </c>
      <c r="FY116">
        <v>10</v>
      </c>
      <c r="GD116">
        <v>0</v>
      </c>
      <c r="GF116">
        <v>-1403993701</v>
      </c>
      <c r="GG116">
        <v>2</v>
      </c>
      <c r="GH116">
        <v>1</v>
      </c>
      <c r="GI116">
        <v>-2</v>
      </c>
      <c r="GJ116">
        <v>0</v>
      </c>
      <c r="GK116">
        <f>ROUND(R116*(R12)/100,2)</f>
        <v>0</v>
      </c>
      <c r="GL116">
        <f t="shared" si="124"/>
        <v>0</v>
      </c>
      <c r="GM116">
        <f t="shared" si="125"/>
        <v>5830.59</v>
      </c>
      <c r="GN116">
        <f t="shared" si="126"/>
        <v>0</v>
      </c>
      <c r="GO116">
        <f t="shared" si="127"/>
        <v>0</v>
      </c>
      <c r="GP116">
        <f t="shared" si="128"/>
        <v>5830.59</v>
      </c>
      <c r="GR116">
        <v>0</v>
      </c>
    </row>
    <row r="117" spans="1:200" ht="12.75">
      <c r="A117">
        <v>17</v>
      </c>
      <c r="B117">
        <v>1</v>
      </c>
      <c r="C117">
        <f>ROW(SmtRes!A146)</f>
        <v>146</v>
      </c>
      <c r="D117">
        <f>ROW(EtalonRes!A151)</f>
        <v>151</v>
      </c>
      <c r="E117" t="s">
        <v>55</v>
      </c>
      <c r="F117" t="s">
        <v>262</v>
      </c>
      <c r="G117" t="s">
        <v>263</v>
      </c>
      <c r="H117" t="s">
        <v>76</v>
      </c>
      <c r="I117">
        <v>0.654</v>
      </c>
      <c r="J117">
        <v>0</v>
      </c>
      <c r="O117">
        <f t="shared" si="96"/>
        <v>2182.01</v>
      </c>
      <c r="P117">
        <f t="shared" si="97"/>
        <v>0</v>
      </c>
      <c r="Q117">
        <f t="shared" si="98"/>
        <v>0</v>
      </c>
      <c r="R117">
        <f t="shared" si="99"/>
        <v>0</v>
      </c>
      <c r="S117">
        <f t="shared" si="100"/>
        <v>2182.01</v>
      </c>
      <c r="T117">
        <f t="shared" si="101"/>
        <v>0</v>
      </c>
      <c r="U117">
        <f t="shared" si="102"/>
        <v>13.08</v>
      </c>
      <c r="V117">
        <f t="shared" si="103"/>
        <v>0</v>
      </c>
      <c r="W117">
        <f t="shared" si="104"/>
        <v>0</v>
      </c>
      <c r="X117">
        <f t="shared" si="105"/>
        <v>1527.41</v>
      </c>
      <c r="Y117">
        <f t="shared" si="105"/>
        <v>218.2</v>
      </c>
      <c r="AA117">
        <v>26615678</v>
      </c>
      <c r="AB117">
        <f t="shared" si="106"/>
        <v>3336.4</v>
      </c>
      <c r="AC117">
        <f t="shared" si="107"/>
        <v>0</v>
      </c>
      <c r="AD117">
        <f t="shared" si="108"/>
        <v>0</v>
      </c>
      <c r="AE117">
        <f t="shared" si="109"/>
        <v>0</v>
      </c>
      <c r="AF117">
        <f t="shared" si="109"/>
        <v>3336.4</v>
      </c>
      <c r="AG117">
        <f t="shared" si="110"/>
        <v>0</v>
      </c>
      <c r="AH117">
        <f t="shared" si="111"/>
        <v>20</v>
      </c>
      <c r="AI117">
        <f t="shared" si="111"/>
        <v>0</v>
      </c>
      <c r="AJ117">
        <f t="shared" si="112"/>
        <v>0</v>
      </c>
      <c r="AK117">
        <v>3336.4</v>
      </c>
      <c r="AL117">
        <v>0</v>
      </c>
      <c r="AM117">
        <v>0</v>
      </c>
      <c r="AN117">
        <v>0</v>
      </c>
      <c r="AO117">
        <v>3336.4</v>
      </c>
      <c r="AP117">
        <v>0</v>
      </c>
      <c r="AQ117">
        <v>20</v>
      </c>
      <c r="AR117">
        <v>0</v>
      </c>
      <c r="AS117">
        <v>0</v>
      </c>
      <c r="AT117">
        <v>70</v>
      </c>
      <c r="AU117">
        <v>10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1</v>
      </c>
      <c r="BH117">
        <v>0</v>
      </c>
      <c r="BI117">
        <v>4</v>
      </c>
      <c r="BJ117" t="s">
        <v>264</v>
      </c>
      <c r="BM117">
        <v>0</v>
      </c>
      <c r="BN117">
        <v>0</v>
      </c>
      <c r="BP117">
        <v>0</v>
      </c>
      <c r="BQ117">
        <v>1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Z117">
        <v>70</v>
      </c>
      <c r="CA117">
        <v>10</v>
      </c>
      <c r="CF117">
        <v>0</v>
      </c>
      <c r="CG117">
        <v>0</v>
      </c>
      <c r="CM117">
        <v>0</v>
      </c>
      <c r="CO117">
        <v>0</v>
      </c>
      <c r="CP117">
        <f t="shared" si="113"/>
        <v>2182.01</v>
      </c>
      <c r="CQ117">
        <f t="shared" si="114"/>
        <v>0</v>
      </c>
      <c r="CR117">
        <f t="shared" si="115"/>
        <v>0</v>
      </c>
      <c r="CS117">
        <f t="shared" si="116"/>
        <v>0</v>
      </c>
      <c r="CT117">
        <f t="shared" si="117"/>
        <v>3336.4</v>
      </c>
      <c r="CU117">
        <f t="shared" si="118"/>
        <v>0</v>
      </c>
      <c r="CV117">
        <f t="shared" si="119"/>
        <v>20</v>
      </c>
      <c r="CW117">
        <f t="shared" si="120"/>
        <v>0</v>
      </c>
      <c r="CX117">
        <f t="shared" si="120"/>
        <v>0</v>
      </c>
      <c r="CY117">
        <f t="shared" si="121"/>
        <v>1527.4070000000002</v>
      </c>
      <c r="CZ117">
        <f t="shared" si="122"/>
        <v>218.20100000000002</v>
      </c>
      <c r="DN117">
        <v>0</v>
      </c>
      <c r="DO117">
        <v>0</v>
      </c>
      <c r="DP117">
        <v>1</v>
      </c>
      <c r="DQ117">
        <v>1</v>
      </c>
      <c r="DU117">
        <v>1013</v>
      </c>
      <c r="DV117" t="s">
        <v>76</v>
      </c>
      <c r="DW117" t="s">
        <v>76</v>
      </c>
      <c r="DX117">
        <v>1</v>
      </c>
      <c r="EE117">
        <v>25674155</v>
      </c>
      <c r="EF117">
        <v>1</v>
      </c>
      <c r="EG117" t="s">
        <v>19</v>
      </c>
      <c r="EH117">
        <v>0</v>
      </c>
      <c r="EJ117">
        <v>4</v>
      </c>
      <c r="EK117">
        <v>0</v>
      </c>
      <c r="EL117" t="s">
        <v>20</v>
      </c>
      <c r="EM117" t="s">
        <v>21</v>
      </c>
      <c r="EQ117">
        <v>0</v>
      </c>
      <c r="ER117">
        <v>3336.4</v>
      </c>
      <c r="ES117">
        <v>0</v>
      </c>
      <c r="ET117">
        <v>0</v>
      </c>
      <c r="EU117">
        <v>0</v>
      </c>
      <c r="EV117">
        <v>3336.4</v>
      </c>
      <c r="EW117">
        <v>20</v>
      </c>
      <c r="EX117">
        <v>0</v>
      </c>
      <c r="EY117">
        <v>0</v>
      </c>
      <c r="FQ117">
        <v>0</v>
      </c>
      <c r="FR117">
        <f t="shared" si="123"/>
        <v>0</v>
      </c>
      <c r="FS117">
        <v>0</v>
      </c>
      <c r="FX117">
        <v>70</v>
      </c>
      <c r="FY117">
        <v>10</v>
      </c>
      <c r="GD117">
        <v>0</v>
      </c>
      <c r="GF117">
        <v>425997612</v>
      </c>
      <c r="GG117">
        <v>2</v>
      </c>
      <c r="GH117">
        <v>1</v>
      </c>
      <c r="GI117">
        <v>-2</v>
      </c>
      <c r="GJ117">
        <v>0</v>
      </c>
      <c r="GK117">
        <f>ROUND(R117*(R12)/100,2)</f>
        <v>0</v>
      </c>
      <c r="GL117">
        <f t="shared" si="124"/>
        <v>0</v>
      </c>
      <c r="GM117">
        <f t="shared" si="125"/>
        <v>3927.62</v>
      </c>
      <c r="GN117">
        <f t="shared" si="126"/>
        <v>0</v>
      </c>
      <c r="GO117">
        <f t="shared" si="127"/>
        <v>0</v>
      </c>
      <c r="GP117">
        <f t="shared" si="128"/>
        <v>3927.62</v>
      </c>
      <c r="GR117">
        <v>0</v>
      </c>
    </row>
    <row r="118" spans="1:200" ht="12.75">
      <c r="A118">
        <v>17</v>
      </c>
      <c r="B118">
        <v>1</v>
      </c>
      <c r="C118">
        <f>ROW(SmtRes!A148)</f>
        <v>148</v>
      </c>
      <c r="D118">
        <f>ROW(EtalonRes!A153)</f>
        <v>153</v>
      </c>
      <c r="E118" t="s">
        <v>64</v>
      </c>
      <c r="F118" t="s">
        <v>265</v>
      </c>
      <c r="G118" t="s">
        <v>266</v>
      </c>
      <c r="H118" t="s">
        <v>267</v>
      </c>
      <c r="I118">
        <v>0.01</v>
      </c>
      <c r="J118">
        <v>0</v>
      </c>
      <c r="O118">
        <f t="shared" si="96"/>
        <v>190.52</v>
      </c>
      <c r="P118">
        <f t="shared" si="97"/>
        <v>0</v>
      </c>
      <c r="Q118">
        <f t="shared" si="98"/>
        <v>0</v>
      </c>
      <c r="R118">
        <f t="shared" si="99"/>
        <v>0</v>
      </c>
      <c r="S118">
        <f t="shared" si="100"/>
        <v>190.52</v>
      </c>
      <c r="T118">
        <f t="shared" si="101"/>
        <v>0</v>
      </c>
      <c r="U118">
        <f t="shared" si="102"/>
        <v>1.2059</v>
      </c>
      <c r="V118">
        <f t="shared" si="103"/>
        <v>0</v>
      </c>
      <c r="W118">
        <f t="shared" si="104"/>
        <v>0</v>
      </c>
      <c r="X118">
        <f t="shared" si="105"/>
        <v>133.36</v>
      </c>
      <c r="Y118">
        <f t="shared" si="105"/>
        <v>19.05</v>
      </c>
      <c r="AA118">
        <v>26615678</v>
      </c>
      <c r="AB118">
        <f t="shared" si="106"/>
        <v>19052.01</v>
      </c>
      <c r="AC118">
        <f t="shared" si="107"/>
        <v>0</v>
      </c>
      <c r="AD118">
        <f t="shared" si="108"/>
        <v>0</v>
      </c>
      <c r="AE118">
        <f t="shared" si="109"/>
        <v>0</v>
      </c>
      <c r="AF118">
        <f t="shared" si="109"/>
        <v>19052.01</v>
      </c>
      <c r="AG118">
        <f t="shared" si="110"/>
        <v>0</v>
      </c>
      <c r="AH118">
        <f t="shared" si="111"/>
        <v>120.59</v>
      </c>
      <c r="AI118">
        <f t="shared" si="111"/>
        <v>0</v>
      </c>
      <c r="AJ118">
        <f t="shared" si="112"/>
        <v>0</v>
      </c>
      <c r="AK118">
        <v>19052.01</v>
      </c>
      <c r="AL118">
        <v>0</v>
      </c>
      <c r="AM118">
        <v>0</v>
      </c>
      <c r="AN118">
        <v>0</v>
      </c>
      <c r="AO118">
        <v>19052.01</v>
      </c>
      <c r="AP118">
        <v>0</v>
      </c>
      <c r="AQ118">
        <v>120.59</v>
      </c>
      <c r="AR118">
        <v>0</v>
      </c>
      <c r="AS118">
        <v>0</v>
      </c>
      <c r="AT118">
        <v>70</v>
      </c>
      <c r="AU118">
        <v>10</v>
      </c>
      <c r="AV118">
        <v>1</v>
      </c>
      <c r="AW118">
        <v>1</v>
      </c>
      <c r="AZ118">
        <v>1</v>
      </c>
      <c r="BA118">
        <v>1</v>
      </c>
      <c r="BB118">
        <v>1</v>
      </c>
      <c r="BC118">
        <v>1</v>
      </c>
      <c r="BH118">
        <v>0</v>
      </c>
      <c r="BI118">
        <v>4</v>
      </c>
      <c r="BJ118" t="s">
        <v>268</v>
      </c>
      <c r="BM118">
        <v>0</v>
      </c>
      <c r="BN118">
        <v>0</v>
      </c>
      <c r="BP118">
        <v>0</v>
      </c>
      <c r="BQ118">
        <v>1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70</v>
      </c>
      <c r="CA118">
        <v>10</v>
      </c>
      <c r="CF118">
        <v>0</v>
      </c>
      <c r="CG118">
        <v>0</v>
      </c>
      <c r="CM118">
        <v>0</v>
      </c>
      <c r="CO118">
        <v>0</v>
      </c>
      <c r="CP118">
        <f t="shared" si="113"/>
        <v>190.52</v>
      </c>
      <c r="CQ118">
        <f t="shared" si="114"/>
        <v>0</v>
      </c>
      <c r="CR118">
        <f t="shared" si="115"/>
        <v>0</v>
      </c>
      <c r="CS118">
        <f t="shared" si="116"/>
        <v>0</v>
      </c>
      <c r="CT118">
        <f t="shared" si="117"/>
        <v>19052.01</v>
      </c>
      <c r="CU118">
        <f t="shared" si="118"/>
        <v>0</v>
      </c>
      <c r="CV118">
        <f t="shared" si="119"/>
        <v>120.59</v>
      </c>
      <c r="CW118">
        <f t="shared" si="120"/>
        <v>0</v>
      </c>
      <c r="CX118">
        <f t="shared" si="120"/>
        <v>0</v>
      </c>
      <c r="CY118">
        <f t="shared" si="121"/>
        <v>133.364</v>
      </c>
      <c r="CZ118">
        <f t="shared" si="122"/>
        <v>19.052</v>
      </c>
      <c r="DN118">
        <v>0</v>
      </c>
      <c r="DO118">
        <v>0</v>
      </c>
      <c r="DP118">
        <v>1</v>
      </c>
      <c r="DQ118">
        <v>1</v>
      </c>
      <c r="DU118">
        <v>1013</v>
      </c>
      <c r="DV118" t="s">
        <v>267</v>
      </c>
      <c r="DW118" t="s">
        <v>267</v>
      </c>
      <c r="DX118">
        <v>1</v>
      </c>
      <c r="EE118">
        <v>25674155</v>
      </c>
      <c r="EF118">
        <v>1</v>
      </c>
      <c r="EG118" t="s">
        <v>19</v>
      </c>
      <c r="EH118">
        <v>0</v>
      </c>
      <c r="EJ118">
        <v>4</v>
      </c>
      <c r="EK118">
        <v>0</v>
      </c>
      <c r="EL118" t="s">
        <v>20</v>
      </c>
      <c r="EM118" t="s">
        <v>21</v>
      </c>
      <c r="EQ118">
        <v>0</v>
      </c>
      <c r="ER118">
        <v>19052.01</v>
      </c>
      <c r="ES118">
        <v>0</v>
      </c>
      <c r="ET118">
        <v>0</v>
      </c>
      <c r="EU118">
        <v>0</v>
      </c>
      <c r="EV118">
        <v>19052.01</v>
      </c>
      <c r="EW118">
        <v>120.59</v>
      </c>
      <c r="EX118">
        <v>0</v>
      </c>
      <c r="EY118">
        <v>0</v>
      </c>
      <c r="FQ118">
        <v>0</v>
      </c>
      <c r="FR118">
        <f t="shared" si="123"/>
        <v>0</v>
      </c>
      <c r="FS118">
        <v>0</v>
      </c>
      <c r="FX118">
        <v>70</v>
      </c>
      <c r="FY118">
        <v>10</v>
      </c>
      <c r="GD118">
        <v>0</v>
      </c>
      <c r="GF118">
        <v>32701748</v>
      </c>
      <c r="GG118">
        <v>2</v>
      </c>
      <c r="GH118">
        <v>1</v>
      </c>
      <c r="GI118">
        <v>-2</v>
      </c>
      <c r="GJ118">
        <v>0</v>
      </c>
      <c r="GK118">
        <f>ROUND(R118*(R12)/100,2)</f>
        <v>0</v>
      </c>
      <c r="GL118">
        <f t="shared" si="124"/>
        <v>0</v>
      </c>
      <c r="GM118">
        <f t="shared" si="125"/>
        <v>342.93</v>
      </c>
      <c r="GN118">
        <f t="shared" si="126"/>
        <v>0</v>
      </c>
      <c r="GO118">
        <f t="shared" si="127"/>
        <v>0</v>
      </c>
      <c r="GP118">
        <f t="shared" si="128"/>
        <v>342.93</v>
      </c>
      <c r="GR118">
        <v>0</v>
      </c>
    </row>
    <row r="119" spans="1:200" ht="12.75">
      <c r="A119">
        <v>17</v>
      </c>
      <c r="B119">
        <v>1</v>
      </c>
      <c r="C119">
        <f>ROW(SmtRes!A151)</f>
        <v>151</v>
      </c>
      <c r="D119">
        <f>ROW(EtalonRes!A156)</f>
        <v>156</v>
      </c>
      <c r="E119" t="s">
        <v>73</v>
      </c>
      <c r="F119" t="s">
        <v>269</v>
      </c>
      <c r="G119" t="s">
        <v>270</v>
      </c>
      <c r="H119" t="s">
        <v>267</v>
      </c>
      <c r="I119">
        <v>0.18</v>
      </c>
      <c r="J119">
        <v>0</v>
      </c>
      <c r="O119">
        <f t="shared" si="96"/>
        <v>4214.87</v>
      </c>
      <c r="P119">
        <f t="shared" si="97"/>
        <v>2827.89</v>
      </c>
      <c r="Q119">
        <f t="shared" si="98"/>
        <v>0</v>
      </c>
      <c r="R119">
        <f t="shared" si="99"/>
        <v>0</v>
      </c>
      <c r="S119">
        <f t="shared" si="100"/>
        <v>1386.98</v>
      </c>
      <c r="T119">
        <f t="shared" si="101"/>
        <v>0</v>
      </c>
      <c r="U119">
        <f t="shared" si="102"/>
        <v>8.3142</v>
      </c>
      <c r="V119">
        <f t="shared" si="103"/>
        <v>0</v>
      </c>
      <c r="W119">
        <f t="shared" si="104"/>
        <v>0</v>
      </c>
      <c r="X119">
        <f t="shared" si="105"/>
        <v>970.89</v>
      </c>
      <c r="Y119">
        <f t="shared" si="105"/>
        <v>138.7</v>
      </c>
      <c r="AA119">
        <v>26615678</v>
      </c>
      <c r="AB119">
        <f t="shared" si="106"/>
        <v>23415.9</v>
      </c>
      <c r="AC119">
        <f t="shared" si="107"/>
        <v>15710.48</v>
      </c>
      <c r="AD119">
        <f t="shared" si="108"/>
        <v>0</v>
      </c>
      <c r="AE119">
        <f t="shared" si="109"/>
        <v>0</v>
      </c>
      <c r="AF119">
        <f t="shared" si="109"/>
        <v>7705.42</v>
      </c>
      <c r="AG119">
        <f t="shared" si="110"/>
        <v>0</v>
      </c>
      <c r="AH119">
        <f t="shared" si="111"/>
        <v>46.19</v>
      </c>
      <c r="AI119">
        <f t="shared" si="111"/>
        <v>0</v>
      </c>
      <c r="AJ119">
        <f t="shared" si="112"/>
        <v>0</v>
      </c>
      <c r="AK119">
        <v>23415.9</v>
      </c>
      <c r="AL119">
        <v>15710.48</v>
      </c>
      <c r="AM119">
        <v>0</v>
      </c>
      <c r="AN119">
        <v>0</v>
      </c>
      <c r="AO119">
        <v>7705.42</v>
      </c>
      <c r="AP119">
        <v>0</v>
      </c>
      <c r="AQ119">
        <v>46.19</v>
      </c>
      <c r="AR119">
        <v>0</v>
      </c>
      <c r="AS119">
        <v>0</v>
      </c>
      <c r="AT119">
        <v>70</v>
      </c>
      <c r="AU119">
        <v>10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1</v>
      </c>
      <c r="BH119">
        <v>0</v>
      </c>
      <c r="BI119">
        <v>4</v>
      </c>
      <c r="BJ119" t="s">
        <v>271</v>
      </c>
      <c r="BM119">
        <v>0</v>
      </c>
      <c r="BN119">
        <v>0</v>
      </c>
      <c r="BP119">
        <v>0</v>
      </c>
      <c r="BQ119">
        <v>1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Z119">
        <v>70</v>
      </c>
      <c r="CA119">
        <v>10</v>
      </c>
      <c r="CF119">
        <v>0</v>
      </c>
      <c r="CG119">
        <v>0</v>
      </c>
      <c r="CM119">
        <v>0</v>
      </c>
      <c r="CO119">
        <v>0</v>
      </c>
      <c r="CP119">
        <f t="shared" si="113"/>
        <v>4214.87</v>
      </c>
      <c r="CQ119">
        <f t="shared" si="114"/>
        <v>15710.48</v>
      </c>
      <c r="CR119">
        <f t="shared" si="115"/>
        <v>0</v>
      </c>
      <c r="CS119">
        <f t="shared" si="116"/>
        <v>0</v>
      </c>
      <c r="CT119">
        <f t="shared" si="117"/>
        <v>7705.42</v>
      </c>
      <c r="CU119">
        <f t="shared" si="118"/>
        <v>0</v>
      </c>
      <c r="CV119">
        <f t="shared" si="119"/>
        <v>46.19</v>
      </c>
      <c r="CW119">
        <f t="shared" si="120"/>
        <v>0</v>
      </c>
      <c r="CX119">
        <f t="shared" si="120"/>
        <v>0</v>
      </c>
      <c r="CY119">
        <f t="shared" si="121"/>
        <v>970.8860000000001</v>
      </c>
      <c r="CZ119">
        <f t="shared" si="122"/>
        <v>138.69799999999998</v>
      </c>
      <c r="DN119">
        <v>0</v>
      </c>
      <c r="DO119">
        <v>0</v>
      </c>
      <c r="DP119">
        <v>1</v>
      </c>
      <c r="DQ119">
        <v>1</v>
      </c>
      <c r="DU119">
        <v>1013</v>
      </c>
      <c r="DV119" t="s">
        <v>267</v>
      </c>
      <c r="DW119" t="s">
        <v>267</v>
      </c>
      <c r="DX119">
        <v>1</v>
      </c>
      <c r="EE119">
        <v>25674155</v>
      </c>
      <c r="EF119">
        <v>1</v>
      </c>
      <c r="EG119" t="s">
        <v>19</v>
      </c>
      <c r="EH119">
        <v>0</v>
      </c>
      <c r="EJ119">
        <v>4</v>
      </c>
      <c r="EK119">
        <v>0</v>
      </c>
      <c r="EL119" t="s">
        <v>20</v>
      </c>
      <c r="EM119" t="s">
        <v>21</v>
      </c>
      <c r="EQ119">
        <v>0</v>
      </c>
      <c r="ER119">
        <v>23415.9</v>
      </c>
      <c r="ES119">
        <v>15710.48</v>
      </c>
      <c r="ET119">
        <v>0</v>
      </c>
      <c r="EU119">
        <v>0</v>
      </c>
      <c r="EV119">
        <v>7705.42</v>
      </c>
      <c r="EW119">
        <v>46.19</v>
      </c>
      <c r="EX119">
        <v>0</v>
      </c>
      <c r="EY119">
        <v>0</v>
      </c>
      <c r="FQ119">
        <v>0</v>
      </c>
      <c r="FR119">
        <f t="shared" si="123"/>
        <v>0</v>
      </c>
      <c r="FS119">
        <v>0</v>
      </c>
      <c r="FX119">
        <v>70</v>
      </c>
      <c r="FY119">
        <v>10</v>
      </c>
      <c r="GD119">
        <v>0</v>
      </c>
      <c r="GF119">
        <v>1486496501</v>
      </c>
      <c r="GG119">
        <v>2</v>
      </c>
      <c r="GH119">
        <v>1</v>
      </c>
      <c r="GI119">
        <v>-2</v>
      </c>
      <c r="GJ119">
        <v>0</v>
      </c>
      <c r="GK119">
        <f>ROUND(R119*(R12)/100,2)</f>
        <v>0</v>
      </c>
      <c r="GL119">
        <f t="shared" si="124"/>
        <v>0</v>
      </c>
      <c r="GM119">
        <f t="shared" si="125"/>
        <v>5324.46</v>
      </c>
      <c r="GN119">
        <f t="shared" si="126"/>
        <v>0</v>
      </c>
      <c r="GO119">
        <f t="shared" si="127"/>
        <v>0</v>
      </c>
      <c r="GP119">
        <f t="shared" si="128"/>
        <v>5324.46</v>
      </c>
      <c r="GR119">
        <v>0</v>
      </c>
    </row>
    <row r="120" spans="1:200" ht="12.75">
      <c r="A120">
        <v>17</v>
      </c>
      <c r="B120">
        <v>1</v>
      </c>
      <c r="C120">
        <f>ROW(SmtRes!A152)</f>
        <v>152</v>
      </c>
      <c r="D120">
        <f>ROW(EtalonRes!A157)</f>
        <v>157</v>
      </c>
      <c r="E120" t="s">
        <v>99</v>
      </c>
      <c r="F120" t="s">
        <v>272</v>
      </c>
      <c r="G120" t="s">
        <v>273</v>
      </c>
      <c r="H120" t="s">
        <v>274</v>
      </c>
      <c r="I120">
        <v>0.2</v>
      </c>
      <c r="J120">
        <v>0</v>
      </c>
      <c r="O120">
        <f t="shared" si="96"/>
        <v>2570.39</v>
      </c>
      <c r="P120">
        <f t="shared" si="97"/>
        <v>0</v>
      </c>
      <c r="Q120">
        <f t="shared" si="98"/>
        <v>0</v>
      </c>
      <c r="R120">
        <f t="shared" si="99"/>
        <v>0</v>
      </c>
      <c r="S120">
        <f t="shared" si="100"/>
        <v>2570.39</v>
      </c>
      <c r="T120">
        <f t="shared" si="101"/>
        <v>0</v>
      </c>
      <c r="U120">
        <f t="shared" si="102"/>
        <v>13.8</v>
      </c>
      <c r="V120">
        <f t="shared" si="103"/>
        <v>0</v>
      </c>
      <c r="W120">
        <f t="shared" si="104"/>
        <v>0</v>
      </c>
      <c r="X120">
        <f t="shared" si="105"/>
        <v>1799.27</v>
      </c>
      <c r="Y120">
        <f t="shared" si="105"/>
        <v>257.04</v>
      </c>
      <c r="AA120">
        <v>26615678</v>
      </c>
      <c r="AB120">
        <f t="shared" si="106"/>
        <v>12851.94</v>
      </c>
      <c r="AC120">
        <f t="shared" si="107"/>
        <v>0</v>
      </c>
      <c r="AD120">
        <f t="shared" si="108"/>
        <v>0</v>
      </c>
      <c r="AE120">
        <f t="shared" si="109"/>
        <v>0</v>
      </c>
      <c r="AF120">
        <f t="shared" si="109"/>
        <v>12851.94</v>
      </c>
      <c r="AG120">
        <f t="shared" si="110"/>
        <v>0</v>
      </c>
      <c r="AH120">
        <f t="shared" si="111"/>
        <v>69</v>
      </c>
      <c r="AI120">
        <f t="shared" si="111"/>
        <v>0</v>
      </c>
      <c r="AJ120">
        <f t="shared" si="112"/>
        <v>0</v>
      </c>
      <c r="AK120">
        <v>12851.94</v>
      </c>
      <c r="AL120">
        <v>0</v>
      </c>
      <c r="AM120">
        <v>0</v>
      </c>
      <c r="AN120">
        <v>0</v>
      </c>
      <c r="AO120">
        <v>12851.94</v>
      </c>
      <c r="AP120">
        <v>0</v>
      </c>
      <c r="AQ120">
        <v>69</v>
      </c>
      <c r="AR120">
        <v>0</v>
      </c>
      <c r="AS120">
        <v>0</v>
      </c>
      <c r="AT120">
        <v>70</v>
      </c>
      <c r="AU120">
        <v>10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1</v>
      </c>
      <c r="BH120">
        <v>0</v>
      </c>
      <c r="BI120">
        <v>4</v>
      </c>
      <c r="BJ120" t="s">
        <v>275</v>
      </c>
      <c r="BM120">
        <v>0</v>
      </c>
      <c r="BN120">
        <v>0</v>
      </c>
      <c r="BP120">
        <v>0</v>
      </c>
      <c r="BQ120">
        <v>1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70</v>
      </c>
      <c r="CA120">
        <v>10</v>
      </c>
      <c r="CF120">
        <v>0</v>
      </c>
      <c r="CG120">
        <v>0</v>
      </c>
      <c r="CM120">
        <v>0</v>
      </c>
      <c r="CO120">
        <v>0</v>
      </c>
      <c r="CP120">
        <f t="shared" si="113"/>
        <v>2570.39</v>
      </c>
      <c r="CQ120">
        <f t="shared" si="114"/>
        <v>0</v>
      </c>
      <c r="CR120">
        <f t="shared" si="115"/>
        <v>0</v>
      </c>
      <c r="CS120">
        <f t="shared" si="116"/>
        <v>0</v>
      </c>
      <c r="CT120">
        <f t="shared" si="117"/>
        <v>12851.94</v>
      </c>
      <c r="CU120">
        <f t="shared" si="118"/>
        <v>0</v>
      </c>
      <c r="CV120">
        <f t="shared" si="119"/>
        <v>69</v>
      </c>
      <c r="CW120">
        <f t="shared" si="120"/>
        <v>0</v>
      </c>
      <c r="CX120">
        <f t="shared" si="120"/>
        <v>0</v>
      </c>
      <c r="CY120">
        <f t="shared" si="121"/>
        <v>1799.273</v>
      </c>
      <c r="CZ120">
        <f t="shared" si="122"/>
        <v>257.039</v>
      </c>
      <c r="DN120">
        <v>0</v>
      </c>
      <c r="DO120">
        <v>0</v>
      </c>
      <c r="DP120">
        <v>1</v>
      </c>
      <c r="DQ120">
        <v>1</v>
      </c>
      <c r="DU120">
        <v>1013</v>
      </c>
      <c r="DV120" t="s">
        <v>274</v>
      </c>
      <c r="DW120" t="s">
        <v>274</v>
      </c>
      <c r="DX120">
        <v>1</v>
      </c>
      <c r="EE120">
        <v>25674155</v>
      </c>
      <c r="EF120">
        <v>1</v>
      </c>
      <c r="EG120" t="s">
        <v>19</v>
      </c>
      <c r="EH120">
        <v>0</v>
      </c>
      <c r="EJ120">
        <v>4</v>
      </c>
      <c r="EK120">
        <v>0</v>
      </c>
      <c r="EL120" t="s">
        <v>20</v>
      </c>
      <c r="EM120" t="s">
        <v>21</v>
      </c>
      <c r="EQ120">
        <v>0</v>
      </c>
      <c r="ER120">
        <v>12851.94</v>
      </c>
      <c r="ES120">
        <v>0</v>
      </c>
      <c r="ET120">
        <v>0</v>
      </c>
      <c r="EU120">
        <v>0</v>
      </c>
      <c r="EV120">
        <v>12851.94</v>
      </c>
      <c r="EW120">
        <v>69</v>
      </c>
      <c r="EX120">
        <v>0</v>
      </c>
      <c r="EY120">
        <v>0</v>
      </c>
      <c r="FQ120">
        <v>0</v>
      </c>
      <c r="FR120">
        <f t="shared" si="123"/>
        <v>0</v>
      </c>
      <c r="FS120">
        <v>0</v>
      </c>
      <c r="FX120">
        <v>70</v>
      </c>
      <c r="FY120">
        <v>10</v>
      </c>
      <c r="GD120">
        <v>0</v>
      </c>
      <c r="GF120">
        <v>-668409249</v>
      </c>
      <c r="GG120">
        <v>2</v>
      </c>
      <c r="GH120">
        <v>1</v>
      </c>
      <c r="GI120">
        <v>-2</v>
      </c>
      <c r="GJ120">
        <v>0</v>
      </c>
      <c r="GK120">
        <f>ROUND(R120*(R12)/100,2)</f>
        <v>0</v>
      </c>
      <c r="GL120">
        <f t="shared" si="124"/>
        <v>0</v>
      </c>
      <c r="GM120">
        <f t="shared" si="125"/>
        <v>4626.7</v>
      </c>
      <c r="GN120">
        <f t="shared" si="126"/>
        <v>0</v>
      </c>
      <c r="GO120">
        <f t="shared" si="127"/>
        <v>0</v>
      </c>
      <c r="GP120">
        <f t="shared" si="128"/>
        <v>4626.7</v>
      </c>
      <c r="GR120">
        <v>0</v>
      </c>
    </row>
    <row r="122" spans="1:118" ht="12.75">
      <c r="A122" s="2">
        <v>51</v>
      </c>
      <c r="B122" s="2">
        <f>B111</f>
        <v>1</v>
      </c>
      <c r="C122" s="2">
        <f>A111</f>
        <v>4</v>
      </c>
      <c r="D122" s="2">
        <f>ROW(A111)</f>
        <v>111</v>
      </c>
      <c r="E122" s="2"/>
      <c r="F122" s="2" t="str">
        <f>IF(F111&lt;&gt;"",F111,"")</f>
        <v>Новый раздел</v>
      </c>
      <c r="G122" s="2" t="str">
        <f>IF(G111&lt;&gt;"",G111,"")</f>
        <v>Демонтажные работы</v>
      </c>
      <c r="H122" s="2"/>
      <c r="I122" s="2"/>
      <c r="J122" s="2"/>
      <c r="K122" s="2"/>
      <c r="L122" s="2"/>
      <c r="M122" s="2"/>
      <c r="N122" s="2"/>
      <c r="O122" s="2">
        <f aca="true" t="shared" si="129" ref="O122:T122">ROUND(AB122,2)</f>
        <v>16267.23</v>
      </c>
      <c r="P122" s="2">
        <f t="shared" si="129"/>
        <v>2827.89</v>
      </c>
      <c r="Q122" s="2">
        <f t="shared" si="129"/>
        <v>0</v>
      </c>
      <c r="R122" s="2">
        <f t="shared" si="129"/>
        <v>0</v>
      </c>
      <c r="S122" s="2">
        <f t="shared" si="129"/>
        <v>13439.34</v>
      </c>
      <c r="T122" s="2">
        <f t="shared" si="129"/>
        <v>0</v>
      </c>
      <c r="U122" s="2">
        <f>AH122</f>
        <v>78.57509999999999</v>
      </c>
      <c r="V122" s="2">
        <f>AI122</f>
        <v>0</v>
      </c>
      <c r="W122" s="2">
        <f>ROUND(AJ122,2)</f>
        <v>0</v>
      </c>
      <c r="X122" s="2">
        <f>ROUND(AK122,2)</f>
        <v>9407.53</v>
      </c>
      <c r="Y122" s="2">
        <f>ROUND(AL122,2)</f>
        <v>1343.93</v>
      </c>
      <c r="Z122" s="2"/>
      <c r="AA122" s="2"/>
      <c r="AB122" s="2">
        <f>ROUND(SUMIF(AA115:AA120,"=26615678",O115:O120),2)</f>
        <v>16267.23</v>
      </c>
      <c r="AC122" s="2">
        <f>ROUND(SUMIF(AA115:AA120,"=26615678",P115:P120),2)</f>
        <v>2827.89</v>
      </c>
      <c r="AD122" s="2">
        <f>ROUND(SUMIF(AA115:AA120,"=26615678",Q115:Q120),2)</f>
        <v>0</v>
      </c>
      <c r="AE122" s="2">
        <f>ROUND(SUMIF(AA115:AA120,"=26615678",R115:R120),2)</f>
        <v>0</v>
      </c>
      <c r="AF122" s="2">
        <f>ROUND(SUMIF(AA115:AA120,"=26615678",S115:S120),2)</f>
        <v>13439.34</v>
      </c>
      <c r="AG122" s="2">
        <f>ROUND(SUMIF(AA115:AA120,"=26615678",T115:T120),2)</f>
        <v>0</v>
      </c>
      <c r="AH122" s="2">
        <f>SUMIF(AA115:AA120,"=26615678",U115:U120)</f>
        <v>78.57509999999999</v>
      </c>
      <c r="AI122" s="2">
        <f>SUMIF(AA115:AA120,"=26615678",V115:V120)</f>
        <v>0</v>
      </c>
      <c r="AJ122" s="2">
        <f>ROUND(SUMIF(AA115:AA120,"=26615678",W115:W120),2)</f>
        <v>0</v>
      </c>
      <c r="AK122" s="2">
        <f>ROUND(SUMIF(AA115:AA120,"=26615678",X115:X120),2)</f>
        <v>9407.53</v>
      </c>
      <c r="AL122" s="2">
        <f>ROUND(SUMIF(AA115:AA120,"=26615678",Y115:Y120),2)</f>
        <v>1343.93</v>
      </c>
      <c r="AM122" s="2"/>
      <c r="AN122" s="2"/>
      <c r="AO122" s="2">
        <f aca="true" t="shared" si="130" ref="AO122:AZ122">ROUND(BB122,2)</f>
        <v>0</v>
      </c>
      <c r="AP122" s="2">
        <f t="shared" si="130"/>
        <v>0</v>
      </c>
      <c r="AQ122" s="2">
        <f t="shared" si="130"/>
        <v>0</v>
      </c>
      <c r="AR122" s="2">
        <f t="shared" si="130"/>
        <v>27018.69</v>
      </c>
      <c r="AS122" s="2">
        <f t="shared" si="130"/>
        <v>0</v>
      </c>
      <c r="AT122" s="2">
        <f t="shared" si="130"/>
        <v>0</v>
      </c>
      <c r="AU122" s="2">
        <f t="shared" si="130"/>
        <v>27018.69</v>
      </c>
      <c r="AV122" s="2">
        <f t="shared" si="130"/>
        <v>2827.89</v>
      </c>
      <c r="AW122" s="2">
        <f t="shared" si="130"/>
        <v>2827.89</v>
      </c>
      <c r="AX122" s="2">
        <f t="shared" si="130"/>
        <v>0</v>
      </c>
      <c r="AY122" s="2">
        <f t="shared" si="130"/>
        <v>2827.89</v>
      </c>
      <c r="AZ122" s="2">
        <f t="shared" si="130"/>
        <v>0</v>
      </c>
      <c r="BA122" s="2"/>
      <c r="BB122" s="2">
        <f>ROUND(SUMIF(AA115:AA120,"=26615678",FQ115:FQ120),2)</f>
        <v>0</v>
      </c>
      <c r="BC122" s="2">
        <f>ROUND(SUMIF(AA115:AA120,"=26615678",FR115:FR120),2)</f>
        <v>0</v>
      </c>
      <c r="BD122" s="2">
        <f>ROUND(SUMIF(AA115:AA120,"=26615678",GL115:GL120),2)</f>
        <v>0</v>
      </c>
      <c r="BE122" s="2">
        <f>ROUND(SUMIF(AA115:AA120,"=26615678",GM115:GM120),2)</f>
        <v>27018.69</v>
      </c>
      <c r="BF122" s="2">
        <f>ROUND(SUMIF(AA115:AA120,"=26615678",GN115:GN120),2)</f>
        <v>0</v>
      </c>
      <c r="BG122" s="2">
        <f>ROUND(SUMIF(AA115:AA120,"=26615678",GO115:GO120),2)</f>
        <v>0</v>
      </c>
      <c r="BH122" s="2">
        <f>ROUND(SUMIF(AA115:AA120,"=26615678",GP115:GP120),2)</f>
        <v>27018.69</v>
      </c>
      <c r="BI122" s="2">
        <f>AC122-BB122</f>
        <v>2827.89</v>
      </c>
      <c r="BJ122" s="2">
        <f>AC122-BC122</f>
        <v>2827.89</v>
      </c>
      <c r="BK122" s="2">
        <f>BB122-BD122</f>
        <v>0</v>
      </c>
      <c r="BL122" s="2">
        <f>AC122-BB122-BC122+BD122</f>
        <v>2827.89</v>
      </c>
      <c r="BM122" s="2">
        <f>BC122-BD122</f>
        <v>0</v>
      </c>
      <c r="BN122" s="2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>
        <v>0</v>
      </c>
    </row>
    <row r="124" spans="1:16" ht="12.75">
      <c r="A124" s="4">
        <v>50</v>
      </c>
      <c r="B124" s="4">
        <v>0</v>
      </c>
      <c r="C124" s="4">
        <v>0</v>
      </c>
      <c r="D124" s="4">
        <v>1</v>
      </c>
      <c r="E124" s="4">
        <v>201</v>
      </c>
      <c r="F124" s="4">
        <f>ROUND(Source!O122,O124)</f>
        <v>16267.23</v>
      </c>
      <c r="G124" s="4" t="s">
        <v>209</v>
      </c>
      <c r="H124" s="4" t="s">
        <v>210</v>
      </c>
      <c r="I124" s="4"/>
      <c r="J124" s="4"/>
      <c r="K124" s="4">
        <v>201</v>
      </c>
      <c r="L124" s="4">
        <v>1</v>
      </c>
      <c r="M124" s="4">
        <v>3</v>
      </c>
      <c r="N124" s="4" t="s">
        <v>3</v>
      </c>
      <c r="O124" s="4">
        <v>2</v>
      </c>
      <c r="P124" s="4"/>
    </row>
    <row r="125" spans="1:16" ht="12.75">
      <c r="A125" s="4">
        <v>50</v>
      </c>
      <c r="B125" s="4">
        <v>0</v>
      </c>
      <c r="C125" s="4">
        <v>0</v>
      </c>
      <c r="D125" s="4">
        <v>1</v>
      </c>
      <c r="E125" s="4">
        <v>202</v>
      </c>
      <c r="F125" s="4">
        <f>ROUND(Source!P122,O125)</f>
        <v>2827.89</v>
      </c>
      <c r="G125" s="4" t="s">
        <v>211</v>
      </c>
      <c r="H125" s="4" t="s">
        <v>212</v>
      </c>
      <c r="I125" s="4"/>
      <c r="J125" s="4"/>
      <c r="K125" s="4">
        <v>202</v>
      </c>
      <c r="L125" s="4">
        <v>2</v>
      </c>
      <c r="M125" s="4">
        <v>3</v>
      </c>
      <c r="N125" s="4" t="s">
        <v>3</v>
      </c>
      <c r="O125" s="4">
        <v>2</v>
      </c>
      <c r="P125" s="4"/>
    </row>
    <row r="126" spans="1:16" ht="12.75">
      <c r="A126" s="4">
        <v>50</v>
      </c>
      <c r="B126" s="4">
        <v>0</v>
      </c>
      <c r="C126" s="4">
        <v>0</v>
      </c>
      <c r="D126" s="4">
        <v>1</v>
      </c>
      <c r="E126" s="4">
        <v>222</v>
      </c>
      <c r="F126" s="4">
        <f>ROUND(Source!AO122,O126)</f>
        <v>0</v>
      </c>
      <c r="G126" s="4" t="s">
        <v>213</v>
      </c>
      <c r="H126" s="4" t="s">
        <v>214</v>
      </c>
      <c r="I126" s="4"/>
      <c r="J126" s="4"/>
      <c r="K126" s="4">
        <v>222</v>
      </c>
      <c r="L126" s="4">
        <v>3</v>
      </c>
      <c r="M126" s="4">
        <v>3</v>
      </c>
      <c r="N126" s="4" t="s">
        <v>3</v>
      </c>
      <c r="O126" s="4">
        <v>2</v>
      </c>
      <c r="P126" s="4"/>
    </row>
    <row r="127" spans="1:16" ht="12.75">
      <c r="A127" s="4">
        <v>50</v>
      </c>
      <c r="B127" s="4">
        <v>0</v>
      </c>
      <c r="C127" s="4">
        <v>0</v>
      </c>
      <c r="D127" s="4">
        <v>1</v>
      </c>
      <c r="E127" s="4">
        <v>225</v>
      </c>
      <c r="F127" s="4">
        <f>ROUND(Source!AV122,O127)</f>
        <v>2827.89</v>
      </c>
      <c r="G127" s="4" t="s">
        <v>215</v>
      </c>
      <c r="H127" s="4" t="s">
        <v>216</v>
      </c>
      <c r="I127" s="4"/>
      <c r="J127" s="4"/>
      <c r="K127" s="4">
        <v>225</v>
      </c>
      <c r="L127" s="4">
        <v>4</v>
      </c>
      <c r="M127" s="4">
        <v>3</v>
      </c>
      <c r="N127" s="4" t="s">
        <v>3</v>
      </c>
      <c r="O127" s="4">
        <v>2</v>
      </c>
      <c r="P127" s="4"/>
    </row>
    <row r="128" spans="1:16" ht="12.75">
      <c r="A128" s="4">
        <v>50</v>
      </c>
      <c r="B128" s="4">
        <v>0</v>
      </c>
      <c r="C128" s="4">
        <v>0</v>
      </c>
      <c r="D128" s="4">
        <v>1</v>
      </c>
      <c r="E128" s="4">
        <v>226</v>
      </c>
      <c r="F128" s="4">
        <f>ROUND(Source!AW122,O128)</f>
        <v>2827.89</v>
      </c>
      <c r="G128" s="4" t="s">
        <v>217</v>
      </c>
      <c r="H128" s="4" t="s">
        <v>218</v>
      </c>
      <c r="I128" s="4"/>
      <c r="J128" s="4"/>
      <c r="K128" s="4">
        <v>226</v>
      </c>
      <c r="L128" s="4">
        <v>5</v>
      </c>
      <c r="M128" s="4">
        <v>3</v>
      </c>
      <c r="N128" s="4" t="s">
        <v>3</v>
      </c>
      <c r="O128" s="4">
        <v>2</v>
      </c>
      <c r="P128" s="4"/>
    </row>
    <row r="129" spans="1:16" ht="12.75">
      <c r="A129" s="4">
        <v>50</v>
      </c>
      <c r="B129" s="4">
        <v>0</v>
      </c>
      <c r="C129" s="4">
        <v>0</v>
      </c>
      <c r="D129" s="4">
        <v>1</v>
      </c>
      <c r="E129" s="4">
        <v>227</v>
      </c>
      <c r="F129" s="4">
        <f>ROUND(Source!AX122,O129)</f>
        <v>0</v>
      </c>
      <c r="G129" s="4" t="s">
        <v>219</v>
      </c>
      <c r="H129" s="4" t="s">
        <v>220</v>
      </c>
      <c r="I129" s="4"/>
      <c r="J129" s="4"/>
      <c r="K129" s="4">
        <v>227</v>
      </c>
      <c r="L129" s="4">
        <v>6</v>
      </c>
      <c r="M129" s="4">
        <v>3</v>
      </c>
      <c r="N129" s="4" t="s">
        <v>3</v>
      </c>
      <c r="O129" s="4">
        <v>2</v>
      </c>
      <c r="P129" s="4"/>
    </row>
    <row r="130" spans="1:16" ht="12.75">
      <c r="A130" s="4">
        <v>50</v>
      </c>
      <c r="B130" s="4">
        <v>0</v>
      </c>
      <c r="C130" s="4">
        <v>0</v>
      </c>
      <c r="D130" s="4">
        <v>1</v>
      </c>
      <c r="E130" s="4">
        <v>228</v>
      </c>
      <c r="F130" s="4">
        <f>ROUND(Source!AY122,O130)</f>
        <v>2827.89</v>
      </c>
      <c r="G130" s="4" t="s">
        <v>221</v>
      </c>
      <c r="H130" s="4" t="s">
        <v>222</v>
      </c>
      <c r="I130" s="4"/>
      <c r="J130" s="4"/>
      <c r="K130" s="4">
        <v>228</v>
      </c>
      <c r="L130" s="4">
        <v>7</v>
      </c>
      <c r="M130" s="4">
        <v>3</v>
      </c>
      <c r="N130" s="4" t="s">
        <v>3</v>
      </c>
      <c r="O130" s="4">
        <v>2</v>
      </c>
      <c r="P130" s="4"/>
    </row>
    <row r="131" spans="1:16" ht="12.75">
      <c r="A131" s="4">
        <v>50</v>
      </c>
      <c r="B131" s="4">
        <v>0</v>
      </c>
      <c r="C131" s="4">
        <v>0</v>
      </c>
      <c r="D131" s="4">
        <v>1</v>
      </c>
      <c r="E131" s="4">
        <v>216</v>
      </c>
      <c r="F131" s="4">
        <f>ROUND(Source!AP122,O131)</f>
        <v>0</v>
      </c>
      <c r="G131" s="4" t="s">
        <v>223</v>
      </c>
      <c r="H131" s="4" t="s">
        <v>224</v>
      </c>
      <c r="I131" s="4"/>
      <c r="J131" s="4"/>
      <c r="K131" s="4">
        <v>216</v>
      </c>
      <c r="L131" s="4">
        <v>8</v>
      </c>
      <c r="M131" s="4">
        <v>3</v>
      </c>
      <c r="N131" s="4" t="s">
        <v>3</v>
      </c>
      <c r="O131" s="4">
        <v>2</v>
      </c>
      <c r="P131" s="4"/>
    </row>
    <row r="132" spans="1:16" ht="12.75">
      <c r="A132" s="4">
        <v>50</v>
      </c>
      <c r="B132" s="4">
        <v>0</v>
      </c>
      <c r="C132" s="4">
        <v>0</v>
      </c>
      <c r="D132" s="4">
        <v>1</v>
      </c>
      <c r="E132" s="4">
        <v>223</v>
      </c>
      <c r="F132" s="4">
        <f>ROUND(Source!AQ122,O132)</f>
        <v>0</v>
      </c>
      <c r="G132" s="4" t="s">
        <v>225</v>
      </c>
      <c r="H132" s="4" t="s">
        <v>226</v>
      </c>
      <c r="I132" s="4"/>
      <c r="J132" s="4"/>
      <c r="K132" s="4">
        <v>223</v>
      </c>
      <c r="L132" s="4">
        <v>9</v>
      </c>
      <c r="M132" s="4">
        <v>3</v>
      </c>
      <c r="N132" s="4" t="s">
        <v>3</v>
      </c>
      <c r="O132" s="4">
        <v>2</v>
      </c>
      <c r="P132" s="4"/>
    </row>
    <row r="133" spans="1:16" ht="12.75">
      <c r="A133" s="4">
        <v>50</v>
      </c>
      <c r="B133" s="4">
        <v>0</v>
      </c>
      <c r="C133" s="4">
        <v>0</v>
      </c>
      <c r="D133" s="4">
        <v>1</v>
      </c>
      <c r="E133" s="4">
        <v>229</v>
      </c>
      <c r="F133" s="4">
        <f>ROUND(Source!AZ122,O133)</f>
        <v>0</v>
      </c>
      <c r="G133" s="4" t="s">
        <v>227</v>
      </c>
      <c r="H133" s="4" t="s">
        <v>228</v>
      </c>
      <c r="I133" s="4"/>
      <c r="J133" s="4"/>
      <c r="K133" s="4">
        <v>229</v>
      </c>
      <c r="L133" s="4">
        <v>10</v>
      </c>
      <c r="M133" s="4">
        <v>3</v>
      </c>
      <c r="N133" s="4" t="s">
        <v>3</v>
      </c>
      <c r="O133" s="4">
        <v>2</v>
      </c>
      <c r="P133" s="4"/>
    </row>
    <row r="134" spans="1:16" ht="12.75">
      <c r="A134" s="4">
        <v>50</v>
      </c>
      <c r="B134" s="4">
        <v>0</v>
      </c>
      <c r="C134" s="4">
        <v>0</v>
      </c>
      <c r="D134" s="4">
        <v>1</v>
      </c>
      <c r="E134" s="4">
        <v>203</v>
      </c>
      <c r="F134" s="4">
        <f>ROUND(Source!Q122,O134)</f>
        <v>0</v>
      </c>
      <c r="G134" s="4" t="s">
        <v>229</v>
      </c>
      <c r="H134" s="4" t="s">
        <v>230</v>
      </c>
      <c r="I134" s="4"/>
      <c r="J134" s="4"/>
      <c r="K134" s="4">
        <v>203</v>
      </c>
      <c r="L134" s="4">
        <v>11</v>
      </c>
      <c r="M134" s="4">
        <v>3</v>
      </c>
      <c r="N134" s="4" t="s">
        <v>3</v>
      </c>
      <c r="O134" s="4">
        <v>2</v>
      </c>
      <c r="P134" s="4"/>
    </row>
    <row r="135" spans="1:16" ht="12.75">
      <c r="A135" s="4">
        <v>50</v>
      </c>
      <c r="B135" s="4">
        <v>0</v>
      </c>
      <c r="C135" s="4">
        <v>0</v>
      </c>
      <c r="D135" s="4">
        <v>1</v>
      </c>
      <c r="E135" s="4">
        <v>204</v>
      </c>
      <c r="F135" s="4">
        <f>ROUND(Source!R122,O135)</f>
        <v>0</v>
      </c>
      <c r="G135" s="4" t="s">
        <v>231</v>
      </c>
      <c r="H135" s="4" t="s">
        <v>232</v>
      </c>
      <c r="I135" s="4"/>
      <c r="J135" s="4"/>
      <c r="K135" s="4">
        <v>204</v>
      </c>
      <c r="L135" s="4">
        <v>12</v>
      </c>
      <c r="M135" s="4">
        <v>3</v>
      </c>
      <c r="N135" s="4" t="s">
        <v>3</v>
      </c>
      <c r="O135" s="4">
        <v>2</v>
      </c>
      <c r="P135" s="4"/>
    </row>
    <row r="136" spans="1:16" ht="12.75">
      <c r="A136" s="4">
        <v>50</v>
      </c>
      <c r="B136" s="4">
        <v>0</v>
      </c>
      <c r="C136" s="4">
        <v>0</v>
      </c>
      <c r="D136" s="4">
        <v>1</v>
      </c>
      <c r="E136" s="4">
        <v>205</v>
      </c>
      <c r="F136" s="4">
        <f>ROUND(Source!S122,O136)</f>
        <v>13439.34</v>
      </c>
      <c r="G136" s="4" t="s">
        <v>233</v>
      </c>
      <c r="H136" s="4" t="s">
        <v>234</v>
      </c>
      <c r="I136" s="4"/>
      <c r="J136" s="4"/>
      <c r="K136" s="4">
        <v>205</v>
      </c>
      <c r="L136" s="4">
        <v>13</v>
      </c>
      <c r="M136" s="4">
        <v>3</v>
      </c>
      <c r="N136" s="4" t="s">
        <v>3</v>
      </c>
      <c r="O136" s="4">
        <v>2</v>
      </c>
      <c r="P136" s="4"/>
    </row>
    <row r="137" spans="1:16" ht="12.75">
      <c r="A137" s="4">
        <v>50</v>
      </c>
      <c r="B137" s="4">
        <v>0</v>
      </c>
      <c r="C137" s="4">
        <v>0</v>
      </c>
      <c r="D137" s="4">
        <v>1</v>
      </c>
      <c r="E137" s="4">
        <v>214</v>
      </c>
      <c r="F137" s="4">
        <f>ROUND(Source!AS122,O137)</f>
        <v>0</v>
      </c>
      <c r="G137" s="4" t="s">
        <v>235</v>
      </c>
      <c r="H137" s="4" t="s">
        <v>236</v>
      </c>
      <c r="I137" s="4"/>
      <c r="J137" s="4"/>
      <c r="K137" s="4">
        <v>214</v>
      </c>
      <c r="L137" s="4">
        <v>14</v>
      </c>
      <c r="M137" s="4">
        <v>3</v>
      </c>
      <c r="N137" s="4" t="s">
        <v>3</v>
      </c>
      <c r="O137" s="4">
        <v>2</v>
      </c>
      <c r="P137" s="4"/>
    </row>
    <row r="138" spans="1:16" ht="12.75">
      <c r="A138" s="4">
        <v>50</v>
      </c>
      <c r="B138" s="4">
        <v>0</v>
      </c>
      <c r="C138" s="4">
        <v>0</v>
      </c>
      <c r="D138" s="4">
        <v>1</v>
      </c>
      <c r="E138" s="4">
        <v>215</v>
      </c>
      <c r="F138" s="4">
        <f>ROUND(Source!AT122,O138)</f>
        <v>0</v>
      </c>
      <c r="G138" s="4" t="s">
        <v>237</v>
      </c>
      <c r="H138" s="4" t="s">
        <v>238</v>
      </c>
      <c r="I138" s="4"/>
      <c r="J138" s="4"/>
      <c r="K138" s="4">
        <v>215</v>
      </c>
      <c r="L138" s="4">
        <v>15</v>
      </c>
      <c r="M138" s="4">
        <v>3</v>
      </c>
      <c r="N138" s="4" t="s">
        <v>3</v>
      </c>
      <c r="O138" s="4">
        <v>2</v>
      </c>
      <c r="P138" s="4"/>
    </row>
    <row r="139" spans="1:16" ht="12.75">
      <c r="A139" s="4">
        <v>50</v>
      </c>
      <c r="B139" s="4">
        <v>0</v>
      </c>
      <c r="C139" s="4">
        <v>0</v>
      </c>
      <c r="D139" s="4">
        <v>1</v>
      </c>
      <c r="E139" s="4">
        <v>217</v>
      </c>
      <c r="F139" s="4">
        <f>ROUND(Source!AU122,O139)</f>
        <v>27018.69</v>
      </c>
      <c r="G139" s="4" t="s">
        <v>239</v>
      </c>
      <c r="H139" s="4" t="s">
        <v>240</v>
      </c>
      <c r="I139" s="4"/>
      <c r="J139" s="4"/>
      <c r="K139" s="4">
        <v>217</v>
      </c>
      <c r="L139" s="4">
        <v>16</v>
      </c>
      <c r="M139" s="4">
        <v>3</v>
      </c>
      <c r="N139" s="4" t="s">
        <v>3</v>
      </c>
      <c r="O139" s="4">
        <v>2</v>
      </c>
      <c r="P139" s="4"/>
    </row>
    <row r="140" spans="1:16" ht="12.75">
      <c r="A140" s="4">
        <v>50</v>
      </c>
      <c r="B140" s="4">
        <v>0</v>
      </c>
      <c r="C140" s="4">
        <v>0</v>
      </c>
      <c r="D140" s="4">
        <v>1</v>
      </c>
      <c r="E140" s="4">
        <v>206</v>
      </c>
      <c r="F140" s="4">
        <f>ROUND(Source!T122,O140)</f>
        <v>0</v>
      </c>
      <c r="G140" s="4" t="s">
        <v>241</v>
      </c>
      <c r="H140" s="4" t="s">
        <v>242</v>
      </c>
      <c r="I140" s="4"/>
      <c r="J140" s="4"/>
      <c r="K140" s="4">
        <v>206</v>
      </c>
      <c r="L140" s="4">
        <v>17</v>
      </c>
      <c r="M140" s="4">
        <v>3</v>
      </c>
      <c r="N140" s="4" t="s">
        <v>3</v>
      </c>
      <c r="O140" s="4">
        <v>2</v>
      </c>
      <c r="P140" s="4"/>
    </row>
    <row r="141" spans="1:16" ht="12.75">
      <c r="A141" s="4">
        <v>50</v>
      </c>
      <c r="B141" s="4">
        <v>0</v>
      </c>
      <c r="C141" s="4">
        <v>0</v>
      </c>
      <c r="D141" s="4">
        <v>1</v>
      </c>
      <c r="E141" s="4">
        <v>207</v>
      </c>
      <c r="F141" s="4">
        <f>Source!U122</f>
        <v>78.57509999999999</v>
      </c>
      <c r="G141" s="4" t="s">
        <v>243</v>
      </c>
      <c r="H141" s="4" t="s">
        <v>244</v>
      </c>
      <c r="I141" s="4"/>
      <c r="J141" s="4"/>
      <c r="K141" s="4">
        <v>207</v>
      </c>
      <c r="L141" s="4">
        <v>18</v>
      </c>
      <c r="M141" s="4">
        <v>3</v>
      </c>
      <c r="N141" s="4" t="s">
        <v>3</v>
      </c>
      <c r="O141" s="4">
        <v>-1</v>
      </c>
      <c r="P141" s="4"/>
    </row>
    <row r="142" spans="1:16" ht="12.75">
      <c r="A142" s="4">
        <v>50</v>
      </c>
      <c r="B142" s="4">
        <v>0</v>
      </c>
      <c r="C142" s="4">
        <v>0</v>
      </c>
      <c r="D142" s="4">
        <v>1</v>
      </c>
      <c r="E142" s="4">
        <v>208</v>
      </c>
      <c r="F142" s="4">
        <f>Source!V122</f>
        <v>0</v>
      </c>
      <c r="G142" s="4" t="s">
        <v>245</v>
      </c>
      <c r="H142" s="4" t="s">
        <v>246</v>
      </c>
      <c r="I142" s="4"/>
      <c r="J142" s="4"/>
      <c r="K142" s="4">
        <v>208</v>
      </c>
      <c r="L142" s="4">
        <v>19</v>
      </c>
      <c r="M142" s="4">
        <v>3</v>
      </c>
      <c r="N142" s="4" t="s">
        <v>3</v>
      </c>
      <c r="O142" s="4">
        <v>-1</v>
      </c>
      <c r="P142" s="4"/>
    </row>
    <row r="143" spans="1:16" ht="12.75">
      <c r="A143" s="4">
        <v>50</v>
      </c>
      <c r="B143" s="4">
        <v>0</v>
      </c>
      <c r="C143" s="4">
        <v>0</v>
      </c>
      <c r="D143" s="4">
        <v>1</v>
      </c>
      <c r="E143" s="4">
        <v>209</v>
      </c>
      <c r="F143" s="4">
        <f>ROUND(Source!W122,O143)</f>
        <v>0</v>
      </c>
      <c r="G143" s="4" t="s">
        <v>247</v>
      </c>
      <c r="H143" s="4" t="s">
        <v>248</v>
      </c>
      <c r="I143" s="4"/>
      <c r="J143" s="4"/>
      <c r="K143" s="4">
        <v>209</v>
      </c>
      <c r="L143" s="4">
        <v>20</v>
      </c>
      <c r="M143" s="4">
        <v>3</v>
      </c>
      <c r="N143" s="4" t="s">
        <v>3</v>
      </c>
      <c r="O143" s="4">
        <v>2</v>
      </c>
      <c r="P143" s="4"/>
    </row>
    <row r="144" spans="1:16" ht="12.75">
      <c r="A144" s="4">
        <v>50</v>
      </c>
      <c r="B144" s="4">
        <v>0</v>
      </c>
      <c r="C144" s="4">
        <v>0</v>
      </c>
      <c r="D144" s="4">
        <v>1</v>
      </c>
      <c r="E144" s="4">
        <v>210</v>
      </c>
      <c r="F144" s="4">
        <f>ROUND(Source!X122,O144)</f>
        <v>9407.53</v>
      </c>
      <c r="G144" s="4" t="s">
        <v>249</v>
      </c>
      <c r="H144" s="4" t="s">
        <v>250</v>
      </c>
      <c r="I144" s="4"/>
      <c r="J144" s="4"/>
      <c r="K144" s="4">
        <v>210</v>
      </c>
      <c r="L144" s="4">
        <v>21</v>
      </c>
      <c r="M144" s="4">
        <v>3</v>
      </c>
      <c r="N144" s="4" t="s">
        <v>3</v>
      </c>
      <c r="O144" s="4">
        <v>2</v>
      </c>
      <c r="P144" s="4"/>
    </row>
    <row r="145" spans="1:16" ht="12.75">
      <c r="A145" s="4">
        <v>50</v>
      </c>
      <c r="B145" s="4">
        <v>0</v>
      </c>
      <c r="C145" s="4">
        <v>0</v>
      </c>
      <c r="D145" s="4">
        <v>1</v>
      </c>
      <c r="E145" s="4">
        <v>211</v>
      </c>
      <c r="F145" s="4">
        <f>ROUND(Source!Y122,O145)</f>
        <v>1343.93</v>
      </c>
      <c r="G145" s="4" t="s">
        <v>251</v>
      </c>
      <c r="H145" s="4" t="s">
        <v>252</v>
      </c>
      <c r="I145" s="4"/>
      <c r="J145" s="4"/>
      <c r="K145" s="4">
        <v>211</v>
      </c>
      <c r="L145" s="4">
        <v>22</v>
      </c>
      <c r="M145" s="4">
        <v>3</v>
      </c>
      <c r="N145" s="4" t="s">
        <v>3</v>
      </c>
      <c r="O145" s="4">
        <v>2</v>
      </c>
      <c r="P145" s="4"/>
    </row>
    <row r="146" spans="1:16" ht="12.75">
      <c r="A146" s="4">
        <v>50</v>
      </c>
      <c r="B146" s="4">
        <v>0</v>
      </c>
      <c r="C146" s="4">
        <v>0</v>
      </c>
      <c r="D146" s="4">
        <v>1</v>
      </c>
      <c r="E146" s="4">
        <v>224</v>
      </c>
      <c r="F146" s="4">
        <f>ROUND(Source!AR122,O146)</f>
        <v>27018.69</v>
      </c>
      <c r="G146" s="4" t="s">
        <v>253</v>
      </c>
      <c r="H146" s="4" t="s">
        <v>254</v>
      </c>
      <c r="I146" s="4"/>
      <c r="J146" s="4"/>
      <c r="K146" s="4">
        <v>224</v>
      </c>
      <c r="L146" s="4">
        <v>23</v>
      </c>
      <c r="M146" s="4">
        <v>3</v>
      </c>
      <c r="N146" s="4" t="s">
        <v>3</v>
      </c>
      <c r="O146" s="4">
        <v>2</v>
      </c>
      <c r="P146" s="4"/>
    </row>
    <row r="148" spans="1:88" ht="12.75">
      <c r="A148" s="1">
        <v>4</v>
      </c>
      <c r="B148" s="1">
        <v>1</v>
      </c>
      <c r="C148" s="1"/>
      <c r="D148" s="1">
        <f>ROW(A155)</f>
        <v>155</v>
      </c>
      <c r="E148" s="1"/>
      <c r="F148" s="1" t="s">
        <v>12</v>
      </c>
      <c r="G148" s="1" t="s">
        <v>276</v>
      </c>
      <c r="H148" s="1" t="s">
        <v>3</v>
      </c>
      <c r="I148" s="1">
        <v>0</v>
      </c>
      <c r="J148" s="1"/>
      <c r="K148" s="1"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 t="s">
        <v>3</v>
      </c>
      <c r="V148" s="1">
        <v>0</v>
      </c>
      <c r="W148" s="1"/>
      <c r="X148" s="1"/>
      <c r="Y148" s="1"/>
      <c r="Z148" s="1"/>
      <c r="AA148" s="1"/>
      <c r="AB148" s="1" t="s">
        <v>3</v>
      </c>
      <c r="AC148" s="1" t="s">
        <v>3</v>
      </c>
      <c r="AD148" s="1" t="s">
        <v>3</v>
      </c>
      <c r="AE148" s="1" t="s">
        <v>3</v>
      </c>
      <c r="AF148" s="1" t="s">
        <v>3</v>
      </c>
      <c r="AG148" s="1" t="s">
        <v>3</v>
      </c>
      <c r="AH148" s="1"/>
      <c r="AI148" s="1"/>
      <c r="AJ148" s="1"/>
      <c r="AK148" s="1"/>
      <c r="AL148" s="1"/>
      <c r="AM148" s="1"/>
      <c r="AN148" s="1"/>
      <c r="AO148" s="1"/>
      <c r="AP148" s="1" t="s">
        <v>3</v>
      </c>
      <c r="AQ148" s="1" t="s">
        <v>3</v>
      </c>
      <c r="AR148" s="1" t="s">
        <v>3</v>
      </c>
      <c r="AS148" s="1"/>
      <c r="AT148" s="1"/>
      <c r="AU148" s="1"/>
      <c r="AV148" s="1"/>
      <c r="AW148" s="1"/>
      <c r="AX148" s="1"/>
      <c r="AY148" s="1"/>
      <c r="AZ148" s="1" t="s">
        <v>3</v>
      </c>
      <c r="BA148" s="1"/>
      <c r="BB148" s="1" t="s">
        <v>3</v>
      </c>
      <c r="BC148" s="1" t="s">
        <v>3</v>
      </c>
      <c r="BD148" s="1" t="s">
        <v>3</v>
      </c>
      <c r="BE148" s="1" t="s">
        <v>3</v>
      </c>
      <c r="BF148" s="1" t="s">
        <v>3</v>
      </c>
      <c r="BG148" s="1" t="s">
        <v>3</v>
      </c>
      <c r="BH148" s="1" t="s">
        <v>3</v>
      </c>
      <c r="BI148" s="1" t="s">
        <v>3</v>
      </c>
      <c r="BJ148" s="1" t="s">
        <v>3</v>
      </c>
      <c r="BK148" s="1" t="s">
        <v>3</v>
      </c>
      <c r="BL148" s="1" t="s">
        <v>3</v>
      </c>
      <c r="BM148" s="1" t="s">
        <v>3</v>
      </c>
      <c r="BN148" s="1" t="s">
        <v>3</v>
      </c>
      <c r="BO148" s="1" t="s">
        <v>3</v>
      </c>
      <c r="BP148" s="1" t="s">
        <v>3</v>
      </c>
      <c r="BQ148" s="1"/>
      <c r="BR148" s="1"/>
      <c r="BS148" s="1"/>
      <c r="BT148" s="1"/>
      <c r="BU148" s="1"/>
      <c r="BV148" s="1"/>
      <c r="BW148" s="1"/>
      <c r="BX148" s="1">
        <v>0</v>
      </c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>
        <v>0</v>
      </c>
    </row>
    <row r="150" spans="1:118" ht="12.75">
      <c r="A150" s="2">
        <v>52</v>
      </c>
      <c r="B150" s="2">
        <f aca="true" t="shared" si="131" ref="B150:G150">B155</f>
        <v>1</v>
      </c>
      <c r="C150" s="2">
        <f t="shared" si="131"/>
        <v>4</v>
      </c>
      <c r="D150" s="2">
        <f t="shared" si="131"/>
        <v>148</v>
      </c>
      <c r="E150" s="2">
        <f t="shared" si="131"/>
        <v>0</v>
      </c>
      <c r="F150" s="2" t="str">
        <f t="shared" si="131"/>
        <v>Новый раздел</v>
      </c>
      <c r="G150" s="2" t="str">
        <f t="shared" si="131"/>
        <v>Строительные работы</v>
      </c>
      <c r="H150" s="2"/>
      <c r="I150" s="2"/>
      <c r="J150" s="2"/>
      <c r="K150" s="2"/>
      <c r="L150" s="2"/>
      <c r="M150" s="2"/>
      <c r="N150" s="2"/>
      <c r="O150" s="2">
        <f aca="true" t="shared" si="132" ref="O150:AT150">O155</f>
        <v>39641.96</v>
      </c>
      <c r="P150" s="2">
        <f t="shared" si="132"/>
        <v>13731.6</v>
      </c>
      <c r="Q150" s="2">
        <f t="shared" si="132"/>
        <v>7093.46</v>
      </c>
      <c r="R150" s="2">
        <f t="shared" si="132"/>
        <v>2952.49</v>
      </c>
      <c r="S150" s="2">
        <f t="shared" si="132"/>
        <v>18816.9</v>
      </c>
      <c r="T150" s="2">
        <f t="shared" si="132"/>
        <v>0</v>
      </c>
      <c r="U150" s="2">
        <f t="shared" si="132"/>
        <v>107.1721</v>
      </c>
      <c r="V150" s="2">
        <f t="shared" si="132"/>
        <v>0</v>
      </c>
      <c r="W150" s="2">
        <f t="shared" si="132"/>
        <v>0</v>
      </c>
      <c r="X150" s="2">
        <f t="shared" si="132"/>
        <v>13171.84</v>
      </c>
      <c r="Y150" s="2">
        <f t="shared" si="132"/>
        <v>1881.7</v>
      </c>
      <c r="Z150" s="2">
        <f t="shared" si="132"/>
        <v>0</v>
      </c>
      <c r="AA150" s="2">
        <f t="shared" si="132"/>
        <v>0</v>
      </c>
      <c r="AB150" s="2">
        <f t="shared" si="132"/>
        <v>39641.96</v>
      </c>
      <c r="AC150" s="2">
        <f t="shared" si="132"/>
        <v>13731.6</v>
      </c>
      <c r="AD150" s="2">
        <f t="shared" si="132"/>
        <v>7093.46</v>
      </c>
      <c r="AE150" s="2">
        <f t="shared" si="132"/>
        <v>2952.49</v>
      </c>
      <c r="AF150" s="2">
        <f t="shared" si="132"/>
        <v>18816.9</v>
      </c>
      <c r="AG150" s="2">
        <f t="shared" si="132"/>
        <v>0</v>
      </c>
      <c r="AH150" s="2">
        <f t="shared" si="132"/>
        <v>107.1721</v>
      </c>
      <c r="AI150" s="2">
        <f t="shared" si="132"/>
        <v>0</v>
      </c>
      <c r="AJ150" s="2">
        <f t="shared" si="132"/>
        <v>0</v>
      </c>
      <c r="AK150" s="2">
        <f t="shared" si="132"/>
        <v>13171.84</v>
      </c>
      <c r="AL150" s="2">
        <f t="shared" si="132"/>
        <v>1881.7</v>
      </c>
      <c r="AM150" s="2">
        <f t="shared" si="132"/>
        <v>0</v>
      </c>
      <c r="AN150" s="2">
        <f t="shared" si="132"/>
        <v>0</v>
      </c>
      <c r="AO150" s="2">
        <f t="shared" si="132"/>
        <v>0</v>
      </c>
      <c r="AP150" s="2">
        <f t="shared" si="132"/>
        <v>0</v>
      </c>
      <c r="AQ150" s="2">
        <f t="shared" si="132"/>
        <v>0</v>
      </c>
      <c r="AR150" s="2">
        <f t="shared" si="132"/>
        <v>57884.19</v>
      </c>
      <c r="AS150" s="2">
        <f t="shared" si="132"/>
        <v>0</v>
      </c>
      <c r="AT150" s="2">
        <f t="shared" si="132"/>
        <v>0</v>
      </c>
      <c r="AU150" s="2">
        <f aca="true" t="shared" si="133" ref="AU150:BZ150">AU155</f>
        <v>57884.19</v>
      </c>
      <c r="AV150" s="2">
        <f t="shared" si="133"/>
        <v>13731.6</v>
      </c>
      <c r="AW150" s="2">
        <f t="shared" si="133"/>
        <v>13731.6</v>
      </c>
      <c r="AX150" s="2">
        <f t="shared" si="133"/>
        <v>0</v>
      </c>
      <c r="AY150" s="2">
        <f t="shared" si="133"/>
        <v>13731.6</v>
      </c>
      <c r="AZ150" s="2">
        <f t="shared" si="133"/>
        <v>0</v>
      </c>
      <c r="BA150" s="2">
        <f t="shared" si="133"/>
        <v>0</v>
      </c>
      <c r="BB150" s="2">
        <f t="shared" si="133"/>
        <v>0</v>
      </c>
      <c r="BC150" s="2">
        <f t="shared" si="133"/>
        <v>0</v>
      </c>
      <c r="BD150" s="2">
        <f t="shared" si="133"/>
        <v>0</v>
      </c>
      <c r="BE150" s="2">
        <f t="shared" si="133"/>
        <v>57884.19</v>
      </c>
      <c r="BF150" s="2">
        <f t="shared" si="133"/>
        <v>0</v>
      </c>
      <c r="BG150" s="2">
        <f t="shared" si="133"/>
        <v>0</v>
      </c>
      <c r="BH150" s="2">
        <f t="shared" si="133"/>
        <v>57884.19</v>
      </c>
      <c r="BI150" s="2">
        <f t="shared" si="133"/>
        <v>13731.6</v>
      </c>
      <c r="BJ150" s="2">
        <f t="shared" si="133"/>
        <v>13731.6</v>
      </c>
      <c r="BK150" s="2">
        <f t="shared" si="133"/>
        <v>0</v>
      </c>
      <c r="BL150" s="2">
        <f t="shared" si="133"/>
        <v>13731.6</v>
      </c>
      <c r="BM150" s="2">
        <f t="shared" si="133"/>
        <v>0</v>
      </c>
      <c r="BN150" s="2">
        <f t="shared" si="133"/>
        <v>0</v>
      </c>
      <c r="BO150" s="3">
        <f t="shared" si="133"/>
        <v>0</v>
      </c>
      <c r="BP150" s="3">
        <f t="shared" si="133"/>
        <v>0</v>
      </c>
      <c r="BQ150" s="3">
        <f t="shared" si="133"/>
        <v>0</v>
      </c>
      <c r="BR150" s="3">
        <f t="shared" si="133"/>
        <v>0</v>
      </c>
      <c r="BS150" s="3">
        <f t="shared" si="133"/>
        <v>0</v>
      </c>
      <c r="BT150" s="3">
        <f t="shared" si="133"/>
        <v>0</v>
      </c>
      <c r="BU150" s="3">
        <f t="shared" si="133"/>
        <v>0</v>
      </c>
      <c r="BV150" s="3">
        <f t="shared" si="133"/>
        <v>0</v>
      </c>
      <c r="BW150" s="3">
        <f t="shared" si="133"/>
        <v>0</v>
      </c>
      <c r="BX150" s="3">
        <f t="shared" si="133"/>
        <v>0</v>
      </c>
      <c r="BY150" s="3">
        <f t="shared" si="133"/>
        <v>0</v>
      </c>
      <c r="BZ150" s="3">
        <f t="shared" si="133"/>
        <v>0</v>
      </c>
      <c r="CA150" s="3">
        <f aca="true" t="shared" si="134" ref="CA150:DF150">CA155</f>
        <v>0</v>
      </c>
      <c r="CB150" s="3">
        <f t="shared" si="134"/>
        <v>0</v>
      </c>
      <c r="CC150" s="3">
        <f t="shared" si="134"/>
        <v>0</v>
      </c>
      <c r="CD150" s="3">
        <f t="shared" si="134"/>
        <v>0</v>
      </c>
      <c r="CE150" s="3">
        <f t="shared" si="134"/>
        <v>0</v>
      </c>
      <c r="CF150" s="3">
        <f t="shared" si="134"/>
        <v>0</v>
      </c>
      <c r="CG150" s="3">
        <f t="shared" si="134"/>
        <v>0</v>
      </c>
      <c r="CH150" s="3">
        <f t="shared" si="134"/>
        <v>0</v>
      </c>
      <c r="CI150" s="3">
        <f t="shared" si="134"/>
        <v>0</v>
      </c>
      <c r="CJ150" s="3">
        <f t="shared" si="134"/>
        <v>0</v>
      </c>
      <c r="CK150" s="3">
        <f t="shared" si="134"/>
        <v>0</v>
      </c>
      <c r="CL150" s="3">
        <f t="shared" si="134"/>
        <v>0</v>
      </c>
      <c r="CM150" s="3">
        <f t="shared" si="134"/>
        <v>0</v>
      </c>
      <c r="CN150" s="3">
        <f t="shared" si="134"/>
        <v>0</v>
      </c>
      <c r="CO150" s="3">
        <f t="shared" si="134"/>
        <v>0</v>
      </c>
      <c r="CP150" s="3">
        <f t="shared" si="134"/>
        <v>0</v>
      </c>
      <c r="CQ150" s="3">
        <f t="shared" si="134"/>
        <v>0</v>
      </c>
      <c r="CR150" s="3">
        <f t="shared" si="134"/>
        <v>0</v>
      </c>
      <c r="CS150" s="3">
        <f t="shared" si="134"/>
        <v>0</v>
      </c>
      <c r="CT150" s="3">
        <f t="shared" si="134"/>
        <v>0</v>
      </c>
      <c r="CU150" s="3">
        <f t="shared" si="134"/>
        <v>0</v>
      </c>
      <c r="CV150" s="3">
        <f t="shared" si="134"/>
        <v>0</v>
      </c>
      <c r="CW150" s="3">
        <f t="shared" si="134"/>
        <v>0</v>
      </c>
      <c r="CX150" s="3">
        <f t="shared" si="134"/>
        <v>0</v>
      </c>
      <c r="CY150" s="3">
        <f t="shared" si="134"/>
        <v>0</v>
      </c>
      <c r="CZ150" s="3">
        <f t="shared" si="134"/>
        <v>0</v>
      </c>
      <c r="DA150" s="3">
        <f t="shared" si="134"/>
        <v>0</v>
      </c>
      <c r="DB150" s="3">
        <f t="shared" si="134"/>
        <v>0</v>
      </c>
      <c r="DC150" s="3">
        <f t="shared" si="134"/>
        <v>0</v>
      </c>
      <c r="DD150" s="3">
        <f t="shared" si="134"/>
        <v>0</v>
      </c>
      <c r="DE150" s="3">
        <f t="shared" si="134"/>
        <v>0</v>
      </c>
      <c r="DF150" s="3">
        <f t="shared" si="134"/>
        <v>0</v>
      </c>
      <c r="DG150" s="3">
        <f aca="true" t="shared" si="135" ref="DG150:DN150">DG155</f>
        <v>0</v>
      </c>
      <c r="DH150" s="3">
        <f t="shared" si="135"/>
        <v>0</v>
      </c>
      <c r="DI150" s="3">
        <f t="shared" si="135"/>
        <v>0</v>
      </c>
      <c r="DJ150" s="3">
        <f t="shared" si="135"/>
        <v>0</v>
      </c>
      <c r="DK150" s="3">
        <f t="shared" si="135"/>
        <v>0</v>
      </c>
      <c r="DL150" s="3">
        <f t="shared" si="135"/>
        <v>0</v>
      </c>
      <c r="DM150" s="3">
        <f t="shared" si="135"/>
        <v>0</v>
      </c>
      <c r="DN150" s="3">
        <f t="shared" si="135"/>
        <v>0</v>
      </c>
    </row>
    <row r="152" spans="1:200" ht="12.75">
      <c r="A152">
        <v>17</v>
      </c>
      <c r="B152">
        <v>1</v>
      </c>
      <c r="C152">
        <f>ROW(SmtRes!A162)</f>
        <v>162</v>
      </c>
      <c r="D152">
        <f>ROW(EtalonRes!A167)</f>
        <v>167</v>
      </c>
      <c r="E152" t="s">
        <v>14</v>
      </c>
      <c r="F152" t="s">
        <v>277</v>
      </c>
      <c r="G152" t="s">
        <v>278</v>
      </c>
      <c r="H152" t="s">
        <v>76</v>
      </c>
      <c r="I152">
        <v>0.155</v>
      </c>
      <c r="J152">
        <v>0</v>
      </c>
      <c r="O152">
        <f>ROUND(CP152,2)</f>
        <v>27219.22</v>
      </c>
      <c r="P152">
        <f>ROUND(CQ152*I152,2)</f>
        <v>11633.11</v>
      </c>
      <c r="Q152">
        <f>ROUND(CR152*I152,2)</f>
        <v>7093.46</v>
      </c>
      <c r="R152">
        <f>ROUND(CS152*I152,2)</f>
        <v>2952.49</v>
      </c>
      <c r="S152">
        <f>ROUND(CT152*I152,2)</f>
        <v>8492.65</v>
      </c>
      <c r="T152">
        <f>ROUND(CU152*I152,2)</f>
        <v>0</v>
      </c>
      <c r="U152">
        <f>CV152*I152</f>
        <v>43.9456</v>
      </c>
      <c r="V152">
        <f>CW152*I152</f>
        <v>0</v>
      </c>
      <c r="W152">
        <f>ROUND(CX152*I152,2)</f>
        <v>0</v>
      </c>
      <c r="X152">
        <f>ROUND(CY152,2)</f>
        <v>5944.86</v>
      </c>
      <c r="Y152">
        <f>ROUND(CZ152,2)</f>
        <v>849.27</v>
      </c>
      <c r="AA152">
        <v>26615678</v>
      </c>
      <c r="AB152">
        <f>ROUND((AC152+AD152+AF152),6)</f>
        <v>175607.86</v>
      </c>
      <c r="AC152">
        <f>ROUND((ES152),6)</f>
        <v>75052.32</v>
      </c>
      <c r="AD152">
        <f>ROUND((((ET152)-(EU152))+AE152),6)</f>
        <v>45764.26</v>
      </c>
      <c r="AE152">
        <f>ROUND((EU152),6)</f>
        <v>19048.31</v>
      </c>
      <c r="AF152">
        <f>ROUND((EV152),6)</f>
        <v>54791.28</v>
      </c>
      <c r="AG152">
        <f>ROUND((AP152),6)</f>
        <v>0</v>
      </c>
      <c r="AH152">
        <f>(EW152)</f>
        <v>283.52</v>
      </c>
      <c r="AI152">
        <f>(EX152)</f>
        <v>0</v>
      </c>
      <c r="AJ152">
        <f>ROUND((AS152),6)</f>
        <v>0</v>
      </c>
      <c r="AK152">
        <v>175607.86</v>
      </c>
      <c r="AL152">
        <v>75052.32</v>
      </c>
      <c r="AM152">
        <v>45764.26</v>
      </c>
      <c r="AN152">
        <v>19048.31</v>
      </c>
      <c r="AO152">
        <v>54791.28</v>
      </c>
      <c r="AP152">
        <v>0</v>
      </c>
      <c r="AQ152">
        <v>283.52</v>
      </c>
      <c r="AR152">
        <v>0</v>
      </c>
      <c r="AS152">
        <v>0</v>
      </c>
      <c r="AT152">
        <v>70</v>
      </c>
      <c r="AU152">
        <v>10</v>
      </c>
      <c r="AV152">
        <v>1</v>
      </c>
      <c r="AW152">
        <v>1</v>
      </c>
      <c r="AZ152">
        <v>1</v>
      </c>
      <c r="BA152">
        <v>1</v>
      </c>
      <c r="BB152">
        <v>1</v>
      </c>
      <c r="BC152">
        <v>1</v>
      </c>
      <c r="BH152">
        <v>0</v>
      </c>
      <c r="BI152">
        <v>4</v>
      </c>
      <c r="BJ152" t="s">
        <v>279</v>
      </c>
      <c r="BM152">
        <v>0</v>
      </c>
      <c r="BN152">
        <v>0</v>
      </c>
      <c r="BP152">
        <v>0</v>
      </c>
      <c r="BQ152">
        <v>1</v>
      </c>
      <c r="BR152">
        <v>0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Z152">
        <v>70</v>
      </c>
      <c r="CA152">
        <v>10</v>
      </c>
      <c r="CF152">
        <v>0</v>
      </c>
      <c r="CG152">
        <v>0</v>
      </c>
      <c r="CM152">
        <v>0</v>
      </c>
      <c r="CO152">
        <v>0</v>
      </c>
      <c r="CP152">
        <f>(P152+Q152+S152)</f>
        <v>27219.22</v>
      </c>
      <c r="CQ152">
        <f>(AC152*BC152*AW152)</f>
        <v>75052.32</v>
      </c>
      <c r="CR152">
        <f>((((ET152)*BB152-(EU152)*BS152)+AE152*BS152)*AV152)</f>
        <v>45764.26</v>
      </c>
      <c r="CS152">
        <f>(AE152*BS152*AV152)</f>
        <v>19048.31</v>
      </c>
      <c r="CT152">
        <f>(AF152*BA152*AV152)</f>
        <v>54791.28</v>
      </c>
      <c r="CU152">
        <f>AG152</f>
        <v>0</v>
      </c>
      <c r="CV152">
        <f>(AH152*AV152)</f>
        <v>283.52</v>
      </c>
      <c r="CW152">
        <f>AI152</f>
        <v>0</v>
      </c>
      <c r="CX152">
        <f>AJ152</f>
        <v>0</v>
      </c>
      <c r="CY152">
        <f>((S152*BZ152)/100)</f>
        <v>5944.855</v>
      </c>
      <c r="CZ152">
        <f>((S152*CA152)/100)</f>
        <v>849.265</v>
      </c>
      <c r="DN152">
        <v>0</v>
      </c>
      <c r="DO152">
        <v>0</v>
      </c>
      <c r="DP152">
        <v>1</v>
      </c>
      <c r="DQ152">
        <v>1</v>
      </c>
      <c r="DU152">
        <v>1013</v>
      </c>
      <c r="DV152" t="s">
        <v>76</v>
      </c>
      <c r="DW152" t="s">
        <v>76</v>
      </c>
      <c r="DX152">
        <v>1</v>
      </c>
      <c r="EE152">
        <v>25674155</v>
      </c>
      <c r="EF152">
        <v>1</v>
      </c>
      <c r="EG152" t="s">
        <v>19</v>
      </c>
      <c r="EH152">
        <v>0</v>
      </c>
      <c r="EJ152">
        <v>4</v>
      </c>
      <c r="EK152">
        <v>0</v>
      </c>
      <c r="EL152" t="s">
        <v>20</v>
      </c>
      <c r="EM152" t="s">
        <v>21</v>
      </c>
      <c r="EQ152">
        <v>0</v>
      </c>
      <c r="ER152">
        <v>175607.86</v>
      </c>
      <c r="ES152">
        <v>75052.32</v>
      </c>
      <c r="ET152">
        <v>45764.26</v>
      </c>
      <c r="EU152">
        <v>19048.31</v>
      </c>
      <c r="EV152">
        <v>54791.28</v>
      </c>
      <c r="EW152">
        <v>283.52</v>
      </c>
      <c r="EX152">
        <v>0</v>
      </c>
      <c r="EY152">
        <v>0</v>
      </c>
      <c r="FQ152">
        <v>0</v>
      </c>
      <c r="FR152">
        <f>ROUND(IF(AND(BH152=3,BI152=3),P152,0),2)</f>
        <v>0</v>
      </c>
      <c r="FS152">
        <v>0</v>
      </c>
      <c r="FX152">
        <v>70</v>
      </c>
      <c r="FY152">
        <v>10</v>
      </c>
      <c r="GD152">
        <v>0</v>
      </c>
      <c r="GF152">
        <v>2013604174</v>
      </c>
      <c r="GG152">
        <v>2</v>
      </c>
      <c r="GH152">
        <v>1</v>
      </c>
      <c r="GI152">
        <v>-2</v>
      </c>
      <c r="GJ152">
        <v>0</v>
      </c>
      <c r="GK152">
        <f>ROUND(R152*(R12)/100,2)</f>
        <v>3188.69</v>
      </c>
      <c r="GL152">
        <f>ROUND(IF(AND(BH152=3,BI152=3,FS152&lt;&gt;0),P152,0),2)</f>
        <v>0</v>
      </c>
      <c r="GM152">
        <f>O152+X152+Y152+GK152</f>
        <v>37202.04</v>
      </c>
      <c r="GN152">
        <f>ROUND(IF(OR(BI152=0,BI152=1),O152+X152+Y152+GK152,0),2)</f>
        <v>0</v>
      </c>
      <c r="GO152">
        <f>ROUND(IF(BI152=2,O152+X152+Y152+GK152,0),2)</f>
        <v>0</v>
      </c>
      <c r="GP152">
        <f>ROUND(IF(BI152=4,O152+X152+Y152+GK152,0),2)</f>
        <v>37202.04</v>
      </c>
      <c r="GR152">
        <v>0</v>
      </c>
    </row>
    <row r="153" spans="1:200" ht="12.75">
      <c r="A153">
        <v>17</v>
      </c>
      <c r="B153">
        <v>1</v>
      </c>
      <c r="C153">
        <f>ROW(SmtRes!A165)</f>
        <v>165</v>
      </c>
      <c r="D153">
        <f>ROW(EtalonRes!A170)</f>
        <v>170</v>
      </c>
      <c r="E153" t="s">
        <v>27</v>
      </c>
      <c r="F153" t="s">
        <v>280</v>
      </c>
      <c r="G153" t="s">
        <v>281</v>
      </c>
      <c r="H153" t="s">
        <v>282</v>
      </c>
      <c r="I153">
        <v>3.05</v>
      </c>
      <c r="J153">
        <v>0</v>
      </c>
      <c r="O153">
        <f>ROUND(CP153,2)</f>
        <v>12422.74</v>
      </c>
      <c r="P153">
        <f>ROUND(CQ153*I153,2)</f>
        <v>2098.49</v>
      </c>
      <c r="Q153">
        <f>ROUND(CR153*I153,2)</f>
        <v>0</v>
      </c>
      <c r="R153">
        <f>ROUND(CS153*I153,2)</f>
        <v>0</v>
      </c>
      <c r="S153">
        <f>ROUND(CT153*I153,2)</f>
        <v>10324.25</v>
      </c>
      <c r="T153">
        <f>ROUND(CU153*I153,2)</f>
        <v>0</v>
      </c>
      <c r="U153">
        <f>CV153*I153</f>
        <v>63.226499999999994</v>
      </c>
      <c r="V153">
        <f>CW153*I153</f>
        <v>0</v>
      </c>
      <c r="W153">
        <f>ROUND(CX153*I153,2)</f>
        <v>0</v>
      </c>
      <c r="X153">
        <f>ROUND(CY153,2)</f>
        <v>7226.98</v>
      </c>
      <c r="Y153">
        <f>ROUND(CZ153,2)</f>
        <v>1032.43</v>
      </c>
      <c r="AA153">
        <v>26615678</v>
      </c>
      <c r="AB153">
        <f>ROUND((AC153+AD153+AF153),6)</f>
        <v>4073.03</v>
      </c>
      <c r="AC153">
        <f>ROUND((ES153),6)</f>
        <v>688.03</v>
      </c>
      <c r="AD153">
        <f>ROUND((((ET153)-(EU153))+AE153),6)</f>
        <v>0</v>
      </c>
      <c r="AE153">
        <f>ROUND((EU153),6)</f>
        <v>0</v>
      </c>
      <c r="AF153">
        <f>ROUND((EV153),6)</f>
        <v>3385</v>
      </c>
      <c r="AG153">
        <f>ROUND((AP153),6)</f>
        <v>0</v>
      </c>
      <c r="AH153">
        <f>(EW153)</f>
        <v>20.73</v>
      </c>
      <c r="AI153">
        <f>(EX153)</f>
        <v>0</v>
      </c>
      <c r="AJ153">
        <f>ROUND((AS153),6)</f>
        <v>0</v>
      </c>
      <c r="AK153">
        <v>4073.03</v>
      </c>
      <c r="AL153">
        <v>688.03</v>
      </c>
      <c r="AM153">
        <v>0</v>
      </c>
      <c r="AN153">
        <v>0</v>
      </c>
      <c r="AO153">
        <v>3385</v>
      </c>
      <c r="AP153">
        <v>0</v>
      </c>
      <c r="AQ153">
        <v>20.73</v>
      </c>
      <c r="AR153">
        <v>0</v>
      </c>
      <c r="AS153">
        <v>0</v>
      </c>
      <c r="AT153">
        <v>70</v>
      </c>
      <c r="AU153">
        <v>10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1</v>
      </c>
      <c r="BH153">
        <v>0</v>
      </c>
      <c r="BI153">
        <v>4</v>
      </c>
      <c r="BJ153" t="s">
        <v>283</v>
      </c>
      <c r="BM153">
        <v>0</v>
      </c>
      <c r="BN153">
        <v>0</v>
      </c>
      <c r="BP153">
        <v>0</v>
      </c>
      <c r="BQ153">
        <v>1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Z153">
        <v>70</v>
      </c>
      <c r="CA153">
        <v>10</v>
      </c>
      <c r="CF153">
        <v>0</v>
      </c>
      <c r="CG153">
        <v>0</v>
      </c>
      <c r="CM153">
        <v>0</v>
      </c>
      <c r="CO153">
        <v>0</v>
      </c>
      <c r="CP153">
        <f>(P153+Q153+S153)</f>
        <v>12422.74</v>
      </c>
      <c r="CQ153">
        <f>(AC153*BC153*AW153)</f>
        <v>688.03</v>
      </c>
      <c r="CR153">
        <f>((((ET153)*BB153-(EU153)*BS153)+AE153*BS153)*AV153)</f>
        <v>0</v>
      </c>
      <c r="CS153">
        <f>(AE153*BS153*AV153)</f>
        <v>0</v>
      </c>
      <c r="CT153">
        <f>(AF153*BA153*AV153)</f>
        <v>3385</v>
      </c>
      <c r="CU153">
        <f>AG153</f>
        <v>0</v>
      </c>
      <c r="CV153">
        <f>(AH153*AV153)</f>
        <v>20.73</v>
      </c>
      <c r="CW153">
        <f>AI153</f>
        <v>0</v>
      </c>
      <c r="CX153">
        <f>AJ153</f>
        <v>0</v>
      </c>
      <c r="CY153">
        <f>((S153*BZ153)/100)</f>
        <v>7226.975</v>
      </c>
      <c r="CZ153">
        <f>((S153*CA153)/100)</f>
        <v>1032.425</v>
      </c>
      <c r="DN153">
        <v>0</v>
      </c>
      <c r="DO153">
        <v>0</v>
      </c>
      <c r="DP153">
        <v>1</v>
      </c>
      <c r="DQ153">
        <v>1</v>
      </c>
      <c r="DU153">
        <v>1013</v>
      </c>
      <c r="DV153" t="s">
        <v>282</v>
      </c>
      <c r="DW153" t="s">
        <v>282</v>
      </c>
      <c r="DX153">
        <v>1</v>
      </c>
      <c r="EE153">
        <v>25674155</v>
      </c>
      <c r="EF153">
        <v>1</v>
      </c>
      <c r="EG153" t="s">
        <v>19</v>
      </c>
      <c r="EH153">
        <v>0</v>
      </c>
      <c r="EJ153">
        <v>4</v>
      </c>
      <c r="EK153">
        <v>0</v>
      </c>
      <c r="EL153" t="s">
        <v>20</v>
      </c>
      <c r="EM153" t="s">
        <v>21</v>
      </c>
      <c r="EQ153">
        <v>0</v>
      </c>
      <c r="ER153">
        <v>4073.03</v>
      </c>
      <c r="ES153">
        <v>688.03</v>
      </c>
      <c r="ET153">
        <v>0</v>
      </c>
      <c r="EU153">
        <v>0</v>
      </c>
      <c r="EV153">
        <v>3385</v>
      </c>
      <c r="EW153">
        <v>20.73</v>
      </c>
      <c r="EX153">
        <v>0</v>
      </c>
      <c r="EY153">
        <v>0</v>
      </c>
      <c r="FQ153">
        <v>0</v>
      </c>
      <c r="FR153">
        <f>ROUND(IF(AND(BH153=3,BI153=3),P153,0),2)</f>
        <v>0</v>
      </c>
      <c r="FS153">
        <v>0</v>
      </c>
      <c r="FX153">
        <v>70</v>
      </c>
      <c r="FY153">
        <v>10</v>
      </c>
      <c r="GD153">
        <v>0</v>
      </c>
      <c r="GF153">
        <v>-692189880</v>
      </c>
      <c r="GG153">
        <v>2</v>
      </c>
      <c r="GH153">
        <v>1</v>
      </c>
      <c r="GI153">
        <v>-2</v>
      </c>
      <c r="GJ153">
        <v>0</v>
      </c>
      <c r="GK153">
        <f>ROUND(R153*(R12)/100,2)</f>
        <v>0</v>
      </c>
      <c r="GL153">
        <f>ROUND(IF(AND(BH153=3,BI153=3,FS153&lt;&gt;0),P153,0),2)</f>
        <v>0</v>
      </c>
      <c r="GM153">
        <f>O153+X153+Y153+GK153</f>
        <v>20682.15</v>
      </c>
      <c r="GN153">
        <f>ROUND(IF(OR(BI153=0,BI153=1),O153+X153+Y153+GK153,0),2)</f>
        <v>0</v>
      </c>
      <c r="GO153">
        <f>ROUND(IF(BI153=2,O153+X153+Y153+GK153,0),2)</f>
        <v>0</v>
      </c>
      <c r="GP153">
        <f>ROUND(IF(BI153=4,O153+X153+Y153+GK153,0),2)</f>
        <v>20682.15</v>
      </c>
      <c r="GR153">
        <v>0</v>
      </c>
    </row>
    <row r="155" spans="1:118" ht="12.75">
      <c r="A155" s="2">
        <v>51</v>
      </c>
      <c r="B155" s="2">
        <f>B148</f>
        <v>1</v>
      </c>
      <c r="C155" s="2">
        <f>A148</f>
        <v>4</v>
      </c>
      <c r="D155" s="2">
        <f>ROW(A148)</f>
        <v>148</v>
      </c>
      <c r="E155" s="2"/>
      <c r="F155" s="2" t="str">
        <f>IF(F148&lt;&gt;"",F148,"")</f>
        <v>Новый раздел</v>
      </c>
      <c r="G155" s="2" t="str">
        <f>IF(G148&lt;&gt;"",G148,"")</f>
        <v>Строительные работы</v>
      </c>
      <c r="H155" s="2"/>
      <c r="I155" s="2"/>
      <c r="J155" s="2"/>
      <c r="K155" s="2"/>
      <c r="L155" s="2"/>
      <c r="M155" s="2"/>
      <c r="N155" s="2"/>
      <c r="O155" s="2">
        <f aca="true" t="shared" si="136" ref="O155:T155">ROUND(AB155,2)</f>
        <v>39641.96</v>
      </c>
      <c r="P155" s="2">
        <f t="shared" si="136"/>
        <v>13731.6</v>
      </c>
      <c r="Q155" s="2">
        <f t="shared" si="136"/>
        <v>7093.46</v>
      </c>
      <c r="R155" s="2">
        <f t="shared" si="136"/>
        <v>2952.49</v>
      </c>
      <c r="S155" s="2">
        <f t="shared" si="136"/>
        <v>18816.9</v>
      </c>
      <c r="T155" s="2">
        <f t="shared" si="136"/>
        <v>0</v>
      </c>
      <c r="U155" s="2">
        <f>AH155</f>
        <v>107.1721</v>
      </c>
      <c r="V155" s="2">
        <f>AI155</f>
        <v>0</v>
      </c>
      <c r="W155" s="2">
        <f>ROUND(AJ155,2)</f>
        <v>0</v>
      </c>
      <c r="X155" s="2">
        <f>ROUND(AK155,2)</f>
        <v>13171.84</v>
      </c>
      <c r="Y155" s="2">
        <f>ROUND(AL155,2)</f>
        <v>1881.7</v>
      </c>
      <c r="Z155" s="2"/>
      <c r="AA155" s="2"/>
      <c r="AB155" s="2">
        <f>ROUND(SUMIF(AA152:AA153,"=26615678",O152:O153),2)</f>
        <v>39641.96</v>
      </c>
      <c r="AC155" s="2">
        <f>ROUND(SUMIF(AA152:AA153,"=26615678",P152:P153),2)</f>
        <v>13731.6</v>
      </c>
      <c r="AD155" s="2">
        <f>ROUND(SUMIF(AA152:AA153,"=26615678",Q152:Q153),2)</f>
        <v>7093.46</v>
      </c>
      <c r="AE155" s="2">
        <f>ROUND(SUMIF(AA152:AA153,"=26615678",R152:R153),2)</f>
        <v>2952.49</v>
      </c>
      <c r="AF155" s="2">
        <f>ROUND(SUMIF(AA152:AA153,"=26615678",S152:S153),2)</f>
        <v>18816.9</v>
      </c>
      <c r="AG155" s="2">
        <f>ROUND(SUMIF(AA152:AA153,"=26615678",T152:T153),2)</f>
        <v>0</v>
      </c>
      <c r="AH155" s="2">
        <f>SUMIF(AA152:AA153,"=26615678",U152:U153)</f>
        <v>107.1721</v>
      </c>
      <c r="AI155" s="2">
        <f>SUMIF(AA152:AA153,"=26615678",V152:V153)</f>
        <v>0</v>
      </c>
      <c r="AJ155" s="2">
        <f>ROUND(SUMIF(AA152:AA153,"=26615678",W152:W153),2)</f>
        <v>0</v>
      </c>
      <c r="AK155" s="2">
        <f>ROUND(SUMIF(AA152:AA153,"=26615678",X152:X153),2)</f>
        <v>13171.84</v>
      </c>
      <c r="AL155" s="2">
        <f>ROUND(SUMIF(AA152:AA153,"=26615678",Y152:Y153),2)</f>
        <v>1881.7</v>
      </c>
      <c r="AM155" s="2"/>
      <c r="AN155" s="2"/>
      <c r="AO155" s="2">
        <f aca="true" t="shared" si="137" ref="AO155:AZ155">ROUND(BB155,2)</f>
        <v>0</v>
      </c>
      <c r="AP155" s="2">
        <f t="shared" si="137"/>
        <v>0</v>
      </c>
      <c r="AQ155" s="2">
        <f t="shared" si="137"/>
        <v>0</v>
      </c>
      <c r="AR155" s="2">
        <f t="shared" si="137"/>
        <v>57884.19</v>
      </c>
      <c r="AS155" s="2">
        <f t="shared" si="137"/>
        <v>0</v>
      </c>
      <c r="AT155" s="2">
        <f t="shared" si="137"/>
        <v>0</v>
      </c>
      <c r="AU155" s="2">
        <f t="shared" si="137"/>
        <v>57884.19</v>
      </c>
      <c r="AV155" s="2">
        <f t="shared" si="137"/>
        <v>13731.6</v>
      </c>
      <c r="AW155" s="2">
        <f t="shared" si="137"/>
        <v>13731.6</v>
      </c>
      <c r="AX155" s="2">
        <f t="shared" si="137"/>
        <v>0</v>
      </c>
      <c r="AY155" s="2">
        <f t="shared" si="137"/>
        <v>13731.6</v>
      </c>
      <c r="AZ155" s="2">
        <f t="shared" si="137"/>
        <v>0</v>
      </c>
      <c r="BA155" s="2"/>
      <c r="BB155" s="2">
        <f>ROUND(SUMIF(AA152:AA153,"=26615678",FQ152:FQ153),2)</f>
        <v>0</v>
      </c>
      <c r="BC155" s="2">
        <f>ROUND(SUMIF(AA152:AA153,"=26615678",FR152:FR153),2)</f>
        <v>0</v>
      </c>
      <c r="BD155" s="2">
        <f>ROUND(SUMIF(AA152:AA153,"=26615678",GL152:GL153),2)</f>
        <v>0</v>
      </c>
      <c r="BE155" s="2">
        <f>ROUND(SUMIF(AA152:AA153,"=26615678",GM152:GM153),2)</f>
        <v>57884.19</v>
      </c>
      <c r="BF155" s="2">
        <f>ROUND(SUMIF(AA152:AA153,"=26615678",GN152:GN153),2)</f>
        <v>0</v>
      </c>
      <c r="BG155" s="2">
        <f>ROUND(SUMIF(AA152:AA153,"=26615678",GO152:GO153),2)</f>
        <v>0</v>
      </c>
      <c r="BH155" s="2">
        <f>ROUND(SUMIF(AA152:AA153,"=26615678",GP152:GP153),2)</f>
        <v>57884.19</v>
      </c>
      <c r="BI155" s="2">
        <f>AC155-BB155</f>
        <v>13731.6</v>
      </c>
      <c r="BJ155" s="2">
        <f>AC155-BC155</f>
        <v>13731.6</v>
      </c>
      <c r="BK155" s="2">
        <f>BB155-BD155</f>
        <v>0</v>
      </c>
      <c r="BL155" s="2">
        <f>AC155-BB155-BC155+BD155</f>
        <v>13731.6</v>
      </c>
      <c r="BM155" s="2">
        <f>BC155-BD155</f>
        <v>0</v>
      </c>
      <c r="BN155" s="2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>
        <v>0</v>
      </c>
    </row>
    <row r="157" spans="1:16" ht="12.75">
      <c r="A157" s="4">
        <v>50</v>
      </c>
      <c r="B157" s="4">
        <v>0</v>
      </c>
      <c r="C157" s="4">
        <v>0</v>
      </c>
      <c r="D157" s="4">
        <v>1</v>
      </c>
      <c r="E157" s="4">
        <v>201</v>
      </c>
      <c r="F157" s="4">
        <f>ROUND(Source!O155,O157)</f>
        <v>39641.96</v>
      </c>
      <c r="G157" s="4" t="s">
        <v>209</v>
      </c>
      <c r="H157" s="4" t="s">
        <v>210</v>
      </c>
      <c r="I157" s="4"/>
      <c r="J157" s="4"/>
      <c r="K157" s="4">
        <v>201</v>
      </c>
      <c r="L157" s="4">
        <v>1</v>
      </c>
      <c r="M157" s="4">
        <v>3</v>
      </c>
      <c r="N157" s="4" t="s">
        <v>3</v>
      </c>
      <c r="O157" s="4">
        <v>2</v>
      </c>
      <c r="P157" s="4"/>
    </row>
    <row r="158" spans="1:16" ht="12.75">
      <c r="A158" s="4">
        <v>50</v>
      </c>
      <c r="B158" s="4">
        <v>0</v>
      </c>
      <c r="C158" s="4">
        <v>0</v>
      </c>
      <c r="D158" s="4">
        <v>1</v>
      </c>
      <c r="E158" s="4">
        <v>202</v>
      </c>
      <c r="F158" s="4">
        <f>ROUND(Source!P155,O158)</f>
        <v>13731.6</v>
      </c>
      <c r="G158" s="4" t="s">
        <v>211</v>
      </c>
      <c r="H158" s="4" t="s">
        <v>212</v>
      </c>
      <c r="I158" s="4"/>
      <c r="J158" s="4"/>
      <c r="K158" s="4">
        <v>202</v>
      </c>
      <c r="L158" s="4">
        <v>2</v>
      </c>
      <c r="M158" s="4">
        <v>3</v>
      </c>
      <c r="N158" s="4" t="s">
        <v>3</v>
      </c>
      <c r="O158" s="4">
        <v>2</v>
      </c>
      <c r="P158" s="4"/>
    </row>
    <row r="159" spans="1:16" ht="12.75">
      <c r="A159" s="4">
        <v>50</v>
      </c>
      <c r="B159" s="4">
        <v>0</v>
      </c>
      <c r="C159" s="4">
        <v>0</v>
      </c>
      <c r="D159" s="4">
        <v>1</v>
      </c>
      <c r="E159" s="4">
        <v>222</v>
      </c>
      <c r="F159" s="4">
        <f>ROUND(Source!AO155,O159)</f>
        <v>0</v>
      </c>
      <c r="G159" s="4" t="s">
        <v>213</v>
      </c>
      <c r="H159" s="4" t="s">
        <v>214</v>
      </c>
      <c r="I159" s="4"/>
      <c r="J159" s="4"/>
      <c r="K159" s="4">
        <v>222</v>
      </c>
      <c r="L159" s="4">
        <v>3</v>
      </c>
      <c r="M159" s="4">
        <v>3</v>
      </c>
      <c r="N159" s="4" t="s">
        <v>3</v>
      </c>
      <c r="O159" s="4">
        <v>2</v>
      </c>
      <c r="P159" s="4"/>
    </row>
    <row r="160" spans="1:16" ht="12.75">
      <c r="A160" s="4">
        <v>50</v>
      </c>
      <c r="B160" s="4">
        <v>0</v>
      </c>
      <c r="C160" s="4">
        <v>0</v>
      </c>
      <c r="D160" s="4">
        <v>1</v>
      </c>
      <c r="E160" s="4">
        <v>225</v>
      </c>
      <c r="F160" s="4">
        <f>ROUND(Source!AV155,O160)</f>
        <v>13731.6</v>
      </c>
      <c r="G160" s="4" t="s">
        <v>215</v>
      </c>
      <c r="H160" s="4" t="s">
        <v>216</v>
      </c>
      <c r="I160" s="4"/>
      <c r="J160" s="4"/>
      <c r="K160" s="4">
        <v>225</v>
      </c>
      <c r="L160" s="4">
        <v>4</v>
      </c>
      <c r="M160" s="4">
        <v>3</v>
      </c>
      <c r="N160" s="4" t="s">
        <v>3</v>
      </c>
      <c r="O160" s="4">
        <v>2</v>
      </c>
      <c r="P160" s="4"/>
    </row>
    <row r="161" spans="1:16" ht="12.75">
      <c r="A161" s="4">
        <v>50</v>
      </c>
      <c r="B161" s="4">
        <v>0</v>
      </c>
      <c r="C161" s="4">
        <v>0</v>
      </c>
      <c r="D161" s="4">
        <v>1</v>
      </c>
      <c r="E161" s="4">
        <v>226</v>
      </c>
      <c r="F161" s="4">
        <f>ROUND(Source!AW155,O161)</f>
        <v>13731.6</v>
      </c>
      <c r="G161" s="4" t="s">
        <v>217</v>
      </c>
      <c r="H161" s="4" t="s">
        <v>218</v>
      </c>
      <c r="I161" s="4"/>
      <c r="J161" s="4"/>
      <c r="K161" s="4">
        <v>226</v>
      </c>
      <c r="L161" s="4">
        <v>5</v>
      </c>
      <c r="M161" s="4">
        <v>3</v>
      </c>
      <c r="N161" s="4" t="s">
        <v>3</v>
      </c>
      <c r="O161" s="4">
        <v>2</v>
      </c>
      <c r="P161" s="4"/>
    </row>
    <row r="162" spans="1:16" ht="12.75">
      <c r="A162" s="4">
        <v>50</v>
      </c>
      <c r="B162" s="4">
        <v>0</v>
      </c>
      <c r="C162" s="4">
        <v>0</v>
      </c>
      <c r="D162" s="4">
        <v>1</v>
      </c>
      <c r="E162" s="4">
        <v>227</v>
      </c>
      <c r="F162" s="4">
        <f>ROUND(Source!AX155,O162)</f>
        <v>0</v>
      </c>
      <c r="G162" s="4" t="s">
        <v>219</v>
      </c>
      <c r="H162" s="4" t="s">
        <v>220</v>
      </c>
      <c r="I162" s="4"/>
      <c r="J162" s="4"/>
      <c r="K162" s="4">
        <v>227</v>
      </c>
      <c r="L162" s="4">
        <v>6</v>
      </c>
      <c r="M162" s="4">
        <v>3</v>
      </c>
      <c r="N162" s="4" t="s">
        <v>3</v>
      </c>
      <c r="O162" s="4">
        <v>2</v>
      </c>
      <c r="P162" s="4"/>
    </row>
    <row r="163" spans="1:16" ht="12.75">
      <c r="A163" s="4">
        <v>50</v>
      </c>
      <c r="B163" s="4">
        <v>0</v>
      </c>
      <c r="C163" s="4">
        <v>0</v>
      </c>
      <c r="D163" s="4">
        <v>1</v>
      </c>
      <c r="E163" s="4">
        <v>228</v>
      </c>
      <c r="F163" s="4">
        <f>ROUND(Source!AY155,O163)</f>
        <v>13731.6</v>
      </c>
      <c r="G163" s="4" t="s">
        <v>221</v>
      </c>
      <c r="H163" s="4" t="s">
        <v>222</v>
      </c>
      <c r="I163" s="4"/>
      <c r="J163" s="4"/>
      <c r="K163" s="4">
        <v>228</v>
      </c>
      <c r="L163" s="4">
        <v>7</v>
      </c>
      <c r="M163" s="4">
        <v>3</v>
      </c>
      <c r="N163" s="4" t="s">
        <v>3</v>
      </c>
      <c r="O163" s="4">
        <v>2</v>
      </c>
      <c r="P163" s="4"/>
    </row>
    <row r="164" spans="1:16" ht="12.75">
      <c r="A164" s="4">
        <v>50</v>
      </c>
      <c r="B164" s="4">
        <v>0</v>
      </c>
      <c r="C164" s="4">
        <v>0</v>
      </c>
      <c r="D164" s="4">
        <v>1</v>
      </c>
      <c r="E164" s="4">
        <v>216</v>
      </c>
      <c r="F164" s="4">
        <f>ROUND(Source!AP155,O164)</f>
        <v>0</v>
      </c>
      <c r="G164" s="4" t="s">
        <v>223</v>
      </c>
      <c r="H164" s="4" t="s">
        <v>224</v>
      </c>
      <c r="I164" s="4"/>
      <c r="J164" s="4"/>
      <c r="K164" s="4">
        <v>216</v>
      </c>
      <c r="L164" s="4">
        <v>8</v>
      </c>
      <c r="M164" s="4">
        <v>3</v>
      </c>
      <c r="N164" s="4" t="s">
        <v>3</v>
      </c>
      <c r="O164" s="4">
        <v>2</v>
      </c>
      <c r="P164" s="4"/>
    </row>
    <row r="165" spans="1:16" ht="12.75">
      <c r="A165" s="4">
        <v>50</v>
      </c>
      <c r="B165" s="4">
        <v>0</v>
      </c>
      <c r="C165" s="4">
        <v>0</v>
      </c>
      <c r="D165" s="4">
        <v>1</v>
      </c>
      <c r="E165" s="4">
        <v>223</v>
      </c>
      <c r="F165" s="4">
        <f>ROUND(Source!AQ155,O165)</f>
        <v>0</v>
      </c>
      <c r="G165" s="4" t="s">
        <v>225</v>
      </c>
      <c r="H165" s="4" t="s">
        <v>226</v>
      </c>
      <c r="I165" s="4"/>
      <c r="J165" s="4"/>
      <c r="K165" s="4">
        <v>223</v>
      </c>
      <c r="L165" s="4">
        <v>9</v>
      </c>
      <c r="M165" s="4">
        <v>3</v>
      </c>
      <c r="N165" s="4" t="s">
        <v>3</v>
      </c>
      <c r="O165" s="4">
        <v>2</v>
      </c>
      <c r="P165" s="4"/>
    </row>
    <row r="166" spans="1:16" ht="12.75">
      <c r="A166" s="4">
        <v>50</v>
      </c>
      <c r="B166" s="4">
        <v>0</v>
      </c>
      <c r="C166" s="4">
        <v>0</v>
      </c>
      <c r="D166" s="4">
        <v>1</v>
      </c>
      <c r="E166" s="4">
        <v>229</v>
      </c>
      <c r="F166" s="4">
        <f>ROUND(Source!AZ155,O166)</f>
        <v>0</v>
      </c>
      <c r="G166" s="4" t="s">
        <v>227</v>
      </c>
      <c r="H166" s="4" t="s">
        <v>228</v>
      </c>
      <c r="I166" s="4"/>
      <c r="J166" s="4"/>
      <c r="K166" s="4">
        <v>229</v>
      </c>
      <c r="L166" s="4">
        <v>10</v>
      </c>
      <c r="M166" s="4">
        <v>3</v>
      </c>
      <c r="N166" s="4" t="s">
        <v>3</v>
      </c>
      <c r="O166" s="4">
        <v>2</v>
      </c>
      <c r="P166" s="4"/>
    </row>
    <row r="167" spans="1:16" ht="12.75">
      <c r="A167" s="4">
        <v>50</v>
      </c>
      <c r="B167" s="4">
        <v>0</v>
      </c>
      <c r="C167" s="4">
        <v>0</v>
      </c>
      <c r="D167" s="4">
        <v>1</v>
      </c>
      <c r="E167" s="4">
        <v>203</v>
      </c>
      <c r="F167" s="4">
        <f>ROUND(Source!Q155,O167)</f>
        <v>7093.46</v>
      </c>
      <c r="G167" s="4" t="s">
        <v>229</v>
      </c>
      <c r="H167" s="4" t="s">
        <v>230</v>
      </c>
      <c r="I167" s="4"/>
      <c r="J167" s="4"/>
      <c r="K167" s="4">
        <v>203</v>
      </c>
      <c r="L167" s="4">
        <v>11</v>
      </c>
      <c r="M167" s="4">
        <v>3</v>
      </c>
      <c r="N167" s="4" t="s">
        <v>3</v>
      </c>
      <c r="O167" s="4">
        <v>2</v>
      </c>
      <c r="P167" s="4"/>
    </row>
    <row r="168" spans="1:16" ht="12.75">
      <c r="A168" s="4">
        <v>50</v>
      </c>
      <c r="B168" s="4">
        <v>0</v>
      </c>
      <c r="C168" s="4">
        <v>0</v>
      </c>
      <c r="D168" s="4">
        <v>1</v>
      </c>
      <c r="E168" s="4">
        <v>204</v>
      </c>
      <c r="F168" s="4">
        <f>ROUND(Source!R155,O168)</f>
        <v>2952.49</v>
      </c>
      <c r="G168" s="4" t="s">
        <v>231</v>
      </c>
      <c r="H168" s="4" t="s">
        <v>232</v>
      </c>
      <c r="I168" s="4"/>
      <c r="J168" s="4"/>
      <c r="K168" s="4">
        <v>204</v>
      </c>
      <c r="L168" s="4">
        <v>12</v>
      </c>
      <c r="M168" s="4">
        <v>3</v>
      </c>
      <c r="N168" s="4" t="s">
        <v>3</v>
      </c>
      <c r="O168" s="4">
        <v>2</v>
      </c>
      <c r="P168" s="4"/>
    </row>
    <row r="169" spans="1:16" ht="12.75">
      <c r="A169" s="4">
        <v>50</v>
      </c>
      <c r="B169" s="4">
        <v>0</v>
      </c>
      <c r="C169" s="4">
        <v>0</v>
      </c>
      <c r="D169" s="4">
        <v>1</v>
      </c>
      <c r="E169" s="4">
        <v>205</v>
      </c>
      <c r="F169" s="4">
        <f>ROUND(Source!S155,O169)</f>
        <v>18816.9</v>
      </c>
      <c r="G169" s="4" t="s">
        <v>233</v>
      </c>
      <c r="H169" s="4" t="s">
        <v>234</v>
      </c>
      <c r="I169" s="4"/>
      <c r="J169" s="4"/>
      <c r="K169" s="4">
        <v>205</v>
      </c>
      <c r="L169" s="4">
        <v>13</v>
      </c>
      <c r="M169" s="4">
        <v>3</v>
      </c>
      <c r="N169" s="4" t="s">
        <v>3</v>
      </c>
      <c r="O169" s="4">
        <v>2</v>
      </c>
      <c r="P169" s="4"/>
    </row>
    <row r="170" spans="1:16" ht="12.75">
      <c r="A170" s="4">
        <v>50</v>
      </c>
      <c r="B170" s="4">
        <v>0</v>
      </c>
      <c r="C170" s="4">
        <v>0</v>
      </c>
      <c r="D170" s="4">
        <v>1</v>
      </c>
      <c r="E170" s="4">
        <v>214</v>
      </c>
      <c r="F170" s="4">
        <f>ROUND(Source!AS155,O170)</f>
        <v>0</v>
      </c>
      <c r="G170" s="4" t="s">
        <v>235</v>
      </c>
      <c r="H170" s="4" t="s">
        <v>236</v>
      </c>
      <c r="I170" s="4"/>
      <c r="J170" s="4"/>
      <c r="K170" s="4">
        <v>214</v>
      </c>
      <c r="L170" s="4">
        <v>14</v>
      </c>
      <c r="M170" s="4">
        <v>3</v>
      </c>
      <c r="N170" s="4" t="s">
        <v>3</v>
      </c>
      <c r="O170" s="4">
        <v>2</v>
      </c>
      <c r="P170" s="4"/>
    </row>
    <row r="171" spans="1:16" ht="12.75">
      <c r="A171" s="4">
        <v>50</v>
      </c>
      <c r="B171" s="4">
        <v>0</v>
      </c>
      <c r="C171" s="4">
        <v>0</v>
      </c>
      <c r="D171" s="4">
        <v>1</v>
      </c>
      <c r="E171" s="4">
        <v>215</v>
      </c>
      <c r="F171" s="4">
        <f>ROUND(Source!AT155,O171)</f>
        <v>0</v>
      </c>
      <c r="G171" s="4" t="s">
        <v>237</v>
      </c>
      <c r="H171" s="4" t="s">
        <v>238</v>
      </c>
      <c r="I171" s="4"/>
      <c r="J171" s="4"/>
      <c r="K171" s="4">
        <v>215</v>
      </c>
      <c r="L171" s="4">
        <v>15</v>
      </c>
      <c r="M171" s="4">
        <v>3</v>
      </c>
      <c r="N171" s="4" t="s">
        <v>3</v>
      </c>
      <c r="O171" s="4">
        <v>2</v>
      </c>
      <c r="P171" s="4"/>
    </row>
    <row r="172" spans="1:16" ht="12.75">
      <c r="A172" s="4">
        <v>50</v>
      </c>
      <c r="B172" s="4">
        <v>0</v>
      </c>
      <c r="C172" s="4">
        <v>0</v>
      </c>
      <c r="D172" s="4">
        <v>1</v>
      </c>
      <c r="E172" s="4">
        <v>217</v>
      </c>
      <c r="F172" s="4">
        <f>ROUND(Source!AU155,O172)</f>
        <v>57884.19</v>
      </c>
      <c r="G172" s="4" t="s">
        <v>239</v>
      </c>
      <c r="H172" s="4" t="s">
        <v>240</v>
      </c>
      <c r="I172" s="4"/>
      <c r="J172" s="4"/>
      <c r="K172" s="4">
        <v>217</v>
      </c>
      <c r="L172" s="4">
        <v>16</v>
      </c>
      <c r="M172" s="4">
        <v>3</v>
      </c>
      <c r="N172" s="4" t="s">
        <v>3</v>
      </c>
      <c r="O172" s="4">
        <v>2</v>
      </c>
      <c r="P172" s="4"/>
    </row>
    <row r="173" spans="1:16" ht="12.75">
      <c r="A173" s="4">
        <v>50</v>
      </c>
      <c r="B173" s="4">
        <v>0</v>
      </c>
      <c r="C173" s="4">
        <v>0</v>
      </c>
      <c r="D173" s="4">
        <v>1</v>
      </c>
      <c r="E173" s="4">
        <v>206</v>
      </c>
      <c r="F173" s="4">
        <f>ROUND(Source!T155,O173)</f>
        <v>0</v>
      </c>
      <c r="G173" s="4" t="s">
        <v>241</v>
      </c>
      <c r="H173" s="4" t="s">
        <v>242</v>
      </c>
      <c r="I173" s="4"/>
      <c r="J173" s="4"/>
      <c r="K173" s="4">
        <v>206</v>
      </c>
      <c r="L173" s="4">
        <v>17</v>
      </c>
      <c r="M173" s="4">
        <v>3</v>
      </c>
      <c r="N173" s="4" t="s">
        <v>3</v>
      </c>
      <c r="O173" s="4">
        <v>2</v>
      </c>
      <c r="P173" s="4"/>
    </row>
    <row r="174" spans="1:16" ht="12.75">
      <c r="A174" s="4">
        <v>50</v>
      </c>
      <c r="B174" s="4">
        <v>0</v>
      </c>
      <c r="C174" s="4">
        <v>0</v>
      </c>
      <c r="D174" s="4">
        <v>1</v>
      </c>
      <c r="E174" s="4">
        <v>207</v>
      </c>
      <c r="F174" s="4">
        <f>Source!U155</f>
        <v>107.1721</v>
      </c>
      <c r="G174" s="4" t="s">
        <v>243</v>
      </c>
      <c r="H174" s="4" t="s">
        <v>244</v>
      </c>
      <c r="I174" s="4"/>
      <c r="J174" s="4"/>
      <c r="K174" s="4">
        <v>207</v>
      </c>
      <c r="L174" s="4">
        <v>18</v>
      </c>
      <c r="M174" s="4">
        <v>3</v>
      </c>
      <c r="N174" s="4" t="s">
        <v>3</v>
      </c>
      <c r="O174" s="4">
        <v>-1</v>
      </c>
      <c r="P174" s="4"/>
    </row>
    <row r="175" spans="1:16" ht="12.75">
      <c r="A175" s="4">
        <v>50</v>
      </c>
      <c r="B175" s="4">
        <v>0</v>
      </c>
      <c r="C175" s="4">
        <v>0</v>
      </c>
      <c r="D175" s="4">
        <v>1</v>
      </c>
      <c r="E175" s="4">
        <v>208</v>
      </c>
      <c r="F175" s="4">
        <f>Source!V155</f>
        <v>0</v>
      </c>
      <c r="G175" s="4" t="s">
        <v>245</v>
      </c>
      <c r="H175" s="4" t="s">
        <v>246</v>
      </c>
      <c r="I175" s="4"/>
      <c r="J175" s="4"/>
      <c r="K175" s="4">
        <v>208</v>
      </c>
      <c r="L175" s="4">
        <v>19</v>
      </c>
      <c r="M175" s="4">
        <v>3</v>
      </c>
      <c r="N175" s="4" t="s">
        <v>3</v>
      </c>
      <c r="O175" s="4">
        <v>-1</v>
      </c>
      <c r="P175" s="4"/>
    </row>
    <row r="176" spans="1:16" ht="12.75">
      <c r="A176" s="4">
        <v>50</v>
      </c>
      <c r="B176" s="4">
        <v>0</v>
      </c>
      <c r="C176" s="4">
        <v>0</v>
      </c>
      <c r="D176" s="4">
        <v>1</v>
      </c>
      <c r="E176" s="4">
        <v>209</v>
      </c>
      <c r="F176" s="4">
        <f>ROUND(Source!W155,O176)</f>
        <v>0</v>
      </c>
      <c r="G176" s="4" t="s">
        <v>247</v>
      </c>
      <c r="H176" s="4" t="s">
        <v>248</v>
      </c>
      <c r="I176" s="4"/>
      <c r="J176" s="4"/>
      <c r="K176" s="4">
        <v>209</v>
      </c>
      <c r="L176" s="4">
        <v>20</v>
      </c>
      <c r="M176" s="4">
        <v>3</v>
      </c>
      <c r="N176" s="4" t="s">
        <v>3</v>
      </c>
      <c r="O176" s="4">
        <v>2</v>
      </c>
      <c r="P176" s="4"/>
    </row>
    <row r="177" spans="1:16" ht="12.75">
      <c r="A177" s="4">
        <v>50</v>
      </c>
      <c r="B177" s="4">
        <v>0</v>
      </c>
      <c r="C177" s="4">
        <v>0</v>
      </c>
      <c r="D177" s="4">
        <v>1</v>
      </c>
      <c r="E177" s="4">
        <v>210</v>
      </c>
      <c r="F177" s="4">
        <f>ROUND(Source!X155,O177)</f>
        <v>13171.84</v>
      </c>
      <c r="G177" s="4" t="s">
        <v>249</v>
      </c>
      <c r="H177" s="4" t="s">
        <v>250</v>
      </c>
      <c r="I177" s="4"/>
      <c r="J177" s="4"/>
      <c r="K177" s="4">
        <v>210</v>
      </c>
      <c r="L177" s="4">
        <v>21</v>
      </c>
      <c r="M177" s="4">
        <v>3</v>
      </c>
      <c r="N177" s="4" t="s">
        <v>3</v>
      </c>
      <c r="O177" s="4">
        <v>2</v>
      </c>
      <c r="P177" s="4"/>
    </row>
    <row r="178" spans="1:16" ht="12.75">
      <c r="A178" s="4">
        <v>50</v>
      </c>
      <c r="B178" s="4">
        <v>0</v>
      </c>
      <c r="C178" s="4">
        <v>0</v>
      </c>
      <c r="D178" s="4">
        <v>1</v>
      </c>
      <c r="E178" s="4">
        <v>211</v>
      </c>
      <c r="F178" s="4">
        <f>ROUND(Source!Y155,O178)</f>
        <v>1881.7</v>
      </c>
      <c r="G178" s="4" t="s">
        <v>251</v>
      </c>
      <c r="H178" s="4" t="s">
        <v>252</v>
      </c>
      <c r="I178" s="4"/>
      <c r="J178" s="4"/>
      <c r="K178" s="4">
        <v>211</v>
      </c>
      <c r="L178" s="4">
        <v>22</v>
      </c>
      <c r="M178" s="4">
        <v>3</v>
      </c>
      <c r="N178" s="4" t="s">
        <v>3</v>
      </c>
      <c r="O178" s="4">
        <v>2</v>
      </c>
      <c r="P178" s="4"/>
    </row>
    <row r="179" spans="1:16" ht="12.75">
      <c r="A179" s="4">
        <v>50</v>
      </c>
      <c r="B179" s="4">
        <v>0</v>
      </c>
      <c r="C179" s="4">
        <v>0</v>
      </c>
      <c r="D179" s="4">
        <v>1</v>
      </c>
      <c r="E179" s="4">
        <v>224</v>
      </c>
      <c r="F179" s="4">
        <f>ROUND(Source!AR155,O179)</f>
        <v>57884.19</v>
      </c>
      <c r="G179" s="4" t="s">
        <v>253</v>
      </c>
      <c r="H179" s="4" t="s">
        <v>254</v>
      </c>
      <c r="I179" s="4"/>
      <c r="J179" s="4"/>
      <c r="K179" s="4">
        <v>224</v>
      </c>
      <c r="L179" s="4">
        <v>23</v>
      </c>
      <c r="M179" s="4">
        <v>3</v>
      </c>
      <c r="N179" s="4" t="s">
        <v>3</v>
      </c>
      <c r="O179" s="4">
        <v>2</v>
      </c>
      <c r="P179" s="4"/>
    </row>
    <row r="181" spans="1:118" ht="12.75">
      <c r="A181" s="2">
        <v>51</v>
      </c>
      <c r="B181" s="2">
        <f>B20</f>
        <v>1</v>
      </c>
      <c r="C181" s="2">
        <f>A20</f>
        <v>3</v>
      </c>
      <c r="D181" s="2">
        <f>ROW(A20)</f>
        <v>20</v>
      </c>
      <c r="E181" s="2"/>
      <c r="F181" s="2" t="str">
        <f>IF(F20&lt;&gt;"",F20,"")</f>
        <v>Новая локальная смета</v>
      </c>
      <c r="G181" s="2" t="str">
        <f>IF(G20&lt;&gt;"",G20,"")</f>
        <v>Новая локальная смета</v>
      </c>
      <c r="H181" s="2"/>
      <c r="I181" s="2"/>
      <c r="J181" s="2"/>
      <c r="K181" s="2"/>
      <c r="L181" s="2"/>
      <c r="M181" s="2"/>
      <c r="N181" s="2"/>
      <c r="O181" s="2">
        <f aca="true" t="shared" si="138" ref="O181:T181">ROUND(O85+O122+O155+AB181,2)</f>
        <v>723328.24</v>
      </c>
      <c r="P181" s="2">
        <f t="shared" si="138"/>
        <v>562313.1</v>
      </c>
      <c r="Q181" s="2">
        <f t="shared" si="138"/>
        <v>8632.21</v>
      </c>
      <c r="R181" s="2">
        <f t="shared" si="138"/>
        <v>3236.14</v>
      </c>
      <c r="S181" s="2">
        <f t="shared" si="138"/>
        <v>152382.93</v>
      </c>
      <c r="T181" s="2">
        <f t="shared" si="138"/>
        <v>0</v>
      </c>
      <c r="U181" s="2">
        <f>U85+U122+U155+AH181</f>
        <v>851.5374259999999</v>
      </c>
      <c r="V181" s="2">
        <f>V85+V122+V155+AI181</f>
        <v>0</v>
      </c>
      <c r="W181" s="2">
        <f>ROUND(W85+W122+W155+AJ181,2)</f>
        <v>0</v>
      </c>
      <c r="X181" s="2">
        <f>ROUND(X85+X122+X155+AK181,2)</f>
        <v>106668.07</v>
      </c>
      <c r="Y181" s="2">
        <f>ROUND(Y85+Y122+Y155+AL181,2)</f>
        <v>15238.29</v>
      </c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>
        <f aca="true" t="shared" si="139" ref="AO181:AZ181">ROUND(AO85+AO122+AO155+BB181,2)</f>
        <v>0</v>
      </c>
      <c r="AP181" s="2">
        <f t="shared" si="139"/>
        <v>0</v>
      </c>
      <c r="AQ181" s="2">
        <f t="shared" si="139"/>
        <v>0</v>
      </c>
      <c r="AR181" s="2">
        <f t="shared" si="139"/>
        <v>848729.62</v>
      </c>
      <c r="AS181" s="2">
        <f t="shared" si="139"/>
        <v>0</v>
      </c>
      <c r="AT181" s="2">
        <f t="shared" si="139"/>
        <v>0</v>
      </c>
      <c r="AU181" s="2">
        <f t="shared" si="139"/>
        <v>848729.62</v>
      </c>
      <c r="AV181" s="2">
        <f t="shared" si="139"/>
        <v>562313.1</v>
      </c>
      <c r="AW181" s="2">
        <f t="shared" si="139"/>
        <v>562313.1</v>
      </c>
      <c r="AX181" s="2">
        <f t="shared" si="139"/>
        <v>0</v>
      </c>
      <c r="AY181" s="2">
        <f t="shared" si="139"/>
        <v>562313.1</v>
      </c>
      <c r="AZ181" s="2">
        <f t="shared" si="139"/>
        <v>0</v>
      </c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>
        <v>0</v>
      </c>
    </row>
    <row r="183" spans="1:16" ht="12.75">
      <c r="A183" s="4">
        <v>50</v>
      </c>
      <c r="B183" s="4">
        <v>0</v>
      </c>
      <c r="C183" s="4">
        <v>0</v>
      </c>
      <c r="D183" s="4">
        <v>1</v>
      </c>
      <c r="E183" s="4">
        <v>201</v>
      </c>
      <c r="F183" s="4">
        <f>ROUND(Source!O181,O183)</f>
        <v>723328.24</v>
      </c>
      <c r="G183" s="4" t="s">
        <v>209</v>
      </c>
      <c r="H183" s="4" t="s">
        <v>210</v>
      </c>
      <c r="I183" s="4"/>
      <c r="J183" s="4"/>
      <c r="K183" s="4">
        <v>201</v>
      </c>
      <c r="L183" s="4">
        <v>1</v>
      </c>
      <c r="M183" s="4">
        <v>3</v>
      </c>
      <c r="N183" s="4" t="s">
        <v>3</v>
      </c>
      <c r="O183" s="4">
        <v>2</v>
      </c>
      <c r="P183" s="4"/>
    </row>
    <row r="184" spans="1:16" ht="12.75">
      <c r="A184" s="4">
        <v>50</v>
      </c>
      <c r="B184" s="4">
        <v>0</v>
      </c>
      <c r="C184" s="4">
        <v>0</v>
      </c>
      <c r="D184" s="4">
        <v>1</v>
      </c>
      <c r="E184" s="4">
        <v>202</v>
      </c>
      <c r="F184" s="4">
        <f>ROUND(Source!P181,O184)</f>
        <v>562313.1</v>
      </c>
      <c r="G184" s="4" t="s">
        <v>211</v>
      </c>
      <c r="H184" s="4" t="s">
        <v>212</v>
      </c>
      <c r="I184" s="4"/>
      <c r="J184" s="4"/>
      <c r="K184" s="4">
        <v>202</v>
      </c>
      <c r="L184" s="4">
        <v>2</v>
      </c>
      <c r="M184" s="4">
        <v>3</v>
      </c>
      <c r="N184" s="4" t="s">
        <v>3</v>
      </c>
      <c r="O184" s="4">
        <v>2</v>
      </c>
      <c r="P184" s="4"/>
    </row>
    <row r="185" spans="1:16" ht="12.75">
      <c r="A185" s="4">
        <v>50</v>
      </c>
      <c r="B185" s="4">
        <v>0</v>
      </c>
      <c r="C185" s="4">
        <v>0</v>
      </c>
      <c r="D185" s="4">
        <v>1</v>
      </c>
      <c r="E185" s="4">
        <v>222</v>
      </c>
      <c r="F185" s="4">
        <f>ROUND(Source!AO181,O185)</f>
        <v>0</v>
      </c>
      <c r="G185" s="4" t="s">
        <v>213</v>
      </c>
      <c r="H185" s="4" t="s">
        <v>214</v>
      </c>
      <c r="I185" s="4"/>
      <c r="J185" s="4"/>
      <c r="K185" s="4">
        <v>222</v>
      </c>
      <c r="L185" s="4">
        <v>3</v>
      </c>
      <c r="M185" s="4">
        <v>3</v>
      </c>
      <c r="N185" s="4" t="s">
        <v>3</v>
      </c>
      <c r="O185" s="4">
        <v>2</v>
      </c>
      <c r="P185" s="4"/>
    </row>
    <row r="186" spans="1:16" ht="12.75">
      <c r="A186" s="4">
        <v>50</v>
      </c>
      <c r="B186" s="4">
        <v>0</v>
      </c>
      <c r="C186" s="4">
        <v>0</v>
      </c>
      <c r="D186" s="4">
        <v>1</v>
      </c>
      <c r="E186" s="4">
        <v>225</v>
      </c>
      <c r="F186" s="4">
        <f>ROUND(Source!AV181,O186)</f>
        <v>562313.1</v>
      </c>
      <c r="G186" s="4" t="s">
        <v>215</v>
      </c>
      <c r="H186" s="4" t="s">
        <v>216</v>
      </c>
      <c r="I186" s="4"/>
      <c r="J186" s="4"/>
      <c r="K186" s="4">
        <v>225</v>
      </c>
      <c r="L186" s="4">
        <v>4</v>
      </c>
      <c r="M186" s="4">
        <v>3</v>
      </c>
      <c r="N186" s="4" t="s">
        <v>3</v>
      </c>
      <c r="O186" s="4">
        <v>2</v>
      </c>
      <c r="P186" s="4"/>
    </row>
    <row r="187" spans="1:16" ht="12.75">
      <c r="A187" s="4">
        <v>50</v>
      </c>
      <c r="B187" s="4">
        <v>0</v>
      </c>
      <c r="C187" s="4">
        <v>0</v>
      </c>
      <c r="D187" s="4">
        <v>1</v>
      </c>
      <c r="E187" s="4">
        <v>226</v>
      </c>
      <c r="F187" s="4">
        <f>ROUND(Source!AW181,O187)</f>
        <v>562313.1</v>
      </c>
      <c r="G187" s="4" t="s">
        <v>217</v>
      </c>
      <c r="H187" s="4" t="s">
        <v>218</v>
      </c>
      <c r="I187" s="4"/>
      <c r="J187" s="4"/>
      <c r="K187" s="4">
        <v>226</v>
      </c>
      <c r="L187" s="4">
        <v>5</v>
      </c>
      <c r="M187" s="4">
        <v>3</v>
      </c>
      <c r="N187" s="4" t="s">
        <v>3</v>
      </c>
      <c r="O187" s="4">
        <v>2</v>
      </c>
      <c r="P187" s="4"/>
    </row>
    <row r="188" spans="1:16" ht="12.75">
      <c r="A188" s="4">
        <v>50</v>
      </c>
      <c r="B188" s="4">
        <v>0</v>
      </c>
      <c r="C188" s="4">
        <v>0</v>
      </c>
      <c r="D188" s="4">
        <v>1</v>
      </c>
      <c r="E188" s="4">
        <v>227</v>
      </c>
      <c r="F188" s="4">
        <f>ROUND(Source!AX181,O188)</f>
        <v>0</v>
      </c>
      <c r="G188" s="4" t="s">
        <v>219</v>
      </c>
      <c r="H188" s="4" t="s">
        <v>220</v>
      </c>
      <c r="I188" s="4"/>
      <c r="J188" s="4"/>
      <c r="K188" s="4">
        <v>227</v>
      </c>
      <c r="L188" s="4">
        <v>6</v>
      </c>
      <c r="M188" s="4">
        <v>3</v>
      </c>
      <c r="N188" s="4" t="s">
        <v>3</v>
      </c>
      <c r="O188" s="4">
        <v>2</v>
      </c>
      <c r="P188" s="4"/>
    </row>
    <row r="189" spans="1:16" ht="12.75">
      <c r="A189" s="4">
        <v>50</v>
      </c>
      <c r="B189" s="4">
        <v>0</v>
      </c>
      <c r="C189" s="4">
        <v>0</v>
      </c>
      <c r="D189" s="4">
        <v>1</v>
      </c>
      <c r="E189" s="4">
        <v>228</v>
      </c>
      <c r="F189" s="4">
        <f>ROUND(Source!AY181,O189)</f>
        <v>562313.1</v>
      </c>
      <c r="G189" s="4" t="s">
        <v>221</v>
      </c>
      <c r="H189" s="4" t="s">
        <v>222</v>
      </c>
      <c r="I189" s="4"/>
      <c r="J189" s="4"/>
      <c r="K189" s="4">
        <v>228</v>
      </c>
      <c r="L189" s="4">
        <v>7</v>
      </c>
      <c r="M189" s="4">
        <v>3</v>
      </c>
      <c r="N189" s="4" t="s">
        <v>3</v>
      </c>
      <c r="O189" s="4">
        <v>2</v>
      </c>
      <c r="P189" s="4"/>
    </row>
    <row r="190" spans="1:16" ht="12.75">
      <c r="A190" s="4">
        <v>50</v>
      </c>
      <c r="B190" s="4">
        <v>0</v>
      </c>
      <c r="C190" s="4">
        <v>0</v>
      </c>
      <c r="D190" s="4">
        <v>1</v>
      </c>
      <c r="E190" s="4">
        <v>216</v>
      </c>
      <c r="F190" s="4">
        <f>ROUND(Source!AP181,O190)</f>
        <v>0</v>
      </c>
      <c r="G190" s="4" t="s">
        <v>223</v>
      </c>
      <c r="H190" s="4" t="s">
        <v>224</v>
      </c>
      <c r="I190" s="4"/>
      <c r="J190" s="4"/>
      <c r="K190" s="4">
        <v>216</v>
      </c>
      <c r="L190" s="4">
        <v>8</v>
      </c>
      <c r="M190" s="4">
        <v>3</v>
      </c>
      <c r="N190" s="4" t="s">
        <v>3</v>
      </c>
      <c r="O190" s="4">
        <v>2</v>
      </c>
      <c r="P190" s="4"/>
    </row>
    <row r="191" spans="1:16" ht="12.75">
      <c r="A191" s="4">
        <v>50</v>
      </c>
      <c r="B191" s="4">
        <v>0</v>
      </c>
      <c r="C191" s="4">
        <v>0</v>
      </c>
      <c r="D191" s="4">
        <v>1</v>
      </c>
      <c r="E191" s="4">
        <v>223</v>
      </c>
      <c r="F191" s="4">
        <f>ROUND(Source!AQ181,O191)</f>
        <v>0</v>
      </c>
      <c r="G191" s="4" t="s">
        <v>225</v>
      </c>
      <c r="H191" s="4" t="s">
        <v>226</v>
      </c>
      <c r="I191" s="4"/>
      <c r="J191" s="4"/>
      <c r="K191" s="4">
        <v>223</v>
      </c>
      <c r="L191" s="4">
        <v>9</v>
      </c>
      <c r="M191" s="4">
        <v>3</v>
      </c>
      <c r="N191" s="4" t="s">
        <v>3</v>
      </c>
      <c r="O191" s="4">
        <v>2</v>
      </c>
      <c r="P191" s="4"/>
    </row>
    <row r="192" spans="1:16" ht="12.75">
      <c r="A192" s="4">
        <v>50</v>
      </c>
      <c r="B192" s="4">
        <v>0</v>
      </c>
      <c r="C192" s="4">
        <v>0</v>
      </c>
      <c r="D192" s="4">
        <v>1</v>
      </c>
      <c r="E192" s="4">
        <v>229</v>
      </c>
      <c r="F192" s="4">
        <f>ROUND(Source!AZ181,O192)</f>
        <v>0</v>
      </c>
      <c r="G192" s="4" t="s">
        <v>227</v>
      </c>
      <c r="H192" s="4" t="s">
        <v>228</v>
      </c>
      <c r="I192" s="4"/>
      <c r="J192" s="4"/>
      <c r="K192" s="4">
        <v>229</v>
      </c>
      <c r="L192" s="4">
        <v>10</v>
      </c>
      <c r="M192" s="4">
        <v>3</v>
      </c>
      <c r="N192" s="4" t="s">
        <v>3</v>
      </c>
      <c r="O192" s="4">
        <v>2</v>
      </c>
      <c r="P192" s="4"/>
    </row>
    <row r="193" spans="1:16" ht="12.75">
      <c r="A193" s="4">
        <v>50</v>
      </c>
      <c r="B193" s="4">
        <v>0</v>
      </c>
      <c r="C193" s="4">
        <v>0</v>
      </c>
      <c r="D193" s="4">
        <v>1</v>
      </c>
      <c r="E193" s="4">
        <v>203</v>
      </c>
      <c r="F193" s="4">
        <f>ROUND(Source!Q181,O193)</f>
        <v>8632.21</v>
      </c>
      <c r="G193" s="4" t="s">
        <v>229</v>
      </c>
      <c r="H193" s="4" t="s">
        <v>230</v>
      </c>
      <c r="I193" s="4"/>
      <c r="J193" s="4"/>
      <c r="K193" s="4">
        <v>203</v>
      </c>
      <c r="L193" s="4">
        <v>11</v>
      </c>
      <c r="M193" s="4">
        <v>3</v>
      </c>
      <c r="N193" s="4" t="s">
        <v>3</v>
      </c>
      <c r="O193" s="4">
        <v>2</v>
      </c>
      <c r="P193" s="4"/>
    </row>
    <row r="194" spans="1:16" ht="12.75">
      <c r="A194" s="4">
        <v>50</v>
      </c>
      <c r="B194" s="4">
        <v>0</v>
      </c>
      <c r="C194" s="4">
        <v>0</v>
      </c>
      <c r="D194" s="4">
        <v>1</v>
      </c>
      <c r="E194" s="4">
        <v>204</v>
      </c>
      <c r="F194" s="4">
        <f>ROUND(Source!R181,O194)</f>
        <v>3236.14</v>
      </c>
      <c r="G194" s="4" t="s">
        <v>231</v>
      </c>
      <c r="H194" s="4" t="s">
        <v>232</v>
      </c>
      <c r="I194" s="4"/>
      <c r="J194" s="4"/>
      <c r="K194" s="4">
        <v>204</v>
      </c>
      <c r="L194" s="4">
        <v>12</v>
      </c>
      <c r="M194" s="4">
        <v>3</v>
      </c>
      <c r="N194" s="4" t="s">
        <v>3</v>
      </c>
      <c r="O194" s="4">
        <v>2</v>
      </c>
      <c r="P194" s="4"/>
    </row>
    <row r="195" spans="1:16" ht="12.75">
      <c r="A195" s="4">
        <v>50</v>
      </c>
      <c r="B195" s="4">
        <v>0</v>
      </c>
      <c r="C195" s="4">
        <v>0</v>
      </c>
      <c r="D195" s="4">
        <v>1</v>
      </c>
      <c r="E195" s="4">
        <v>205</v>
      </c>
      <c r="F195" s="4">
        <f>ROUND(Source!S181,O195)</f>
        <v>152382.93</v>
      </c>
      <c r="G195" s="4" t="s">
        <v>233</v>
      </c>
      <c r="H195" s="4" t="s">
        <v>234</v>
      </c>
      <c r="I195" s="4"/>
      <c r="J195" s="4"/>
      <c r="K195" s="4">
        <v>205</v>
      </c>
      <c r="L195" s="4">
        <v>13</v>
      </c>
      <c r="M195" s="4">
        <v>3</v>
      </c>
      <c r="N195" s="4" t="s">
        <v>3</v>
      </c>
      <c r="O195" s="4">
        <v>2</v>
      </c>
      <c r="P195" s="4"/>
    </row>
    <row r="196" spans="1:16" ht="12.75">
      <c r="A196" s="4">
        <v>50</v>
      </c>
      <c r="B196" s="4">
        <v>0</v>
      </c>
      <c r="C196" s="4">
        <v>0</v>
      </c>
      <c r="D196" s="4">
        <v>1</v>
      </c>
      <c r="E196" s="4">
        <v>214</v>
      </c>
      <c r="F196" s="4">
        <f>ROUND(Source!AS181,O196)</f>
        <v>0</v>
      </c>
      <c r="G196" s="4" t="s">
        <v>235</v>
      </c>
      <c r="H196" s="4" t="s">
        <v>236</v>
      </c>
      <c r="I196" s="4"/>
      <c r="J196" s="4"/>
      <c r="K196" s="4">
        <v>214</v>
      </c>
      <c r="L196" s="4">
        <v>14</v>
      </c>
      <c r="M196" s="4">
        <v>3</v>
      </c>
      <c r="N196" s="4" t="s">
        <v>3</v>
      </c>
      <c r="O196" s="4">
        <v>2</v>
      </c>
      <c r="P196" s="4"/>
    </row>
    <row r="197" spans="1:16" ht="12.75">
      <c r="A197" s="4">
        <v>50</v>
      </c>
      <c r="B197" s="4">
        <v>0</v>
      </c>
      <c r="C197" s="4">
        <v>0</v>
      </c>
      <c r="D197" s="4">
        <v>1</v>
      </c>
      <c r="E197" s="4">
        <v>215</v>
      </c>
      <c r="F197" s="4">
        <f>ROUND(Source!AT181,O197)</f>
        <v>0</v>
      </c>
      <c r="G197" s="4" t="s">
        <v>237</v>
      </c>
      <c r="H197" s="4" t="s">
        <v>238</v>
      </c>
      <c r="I197" s="4"/>
      <c r="J197" s="4"/>
      <c r="K197" s="4">
        <v>215</v>
      </c>
      <c r="L197" s="4">
        <v>15</v>
      </c>
      <c r="M197" s="4">
        <v>3</v>
      </c>
      <c r="N197" s="4" t="s">
        <v>3</v>
      </c>
      <c r="O197" s="4">
        <v>2</v>
      </c>
      <c r="P197" s="4"/>
    </row>
    <row r="198" spans="1:16" ht="12.75">
      <c r="A198" s="4">
        <v>50</v>
      </c>
      <c r="B198" s="4">
        <v>0</v>
      </c>
      <c r="C198" s="4">
        <v>0</v>
      </c>
      <c r="D198" s="4">
        <v>1</v>
      </c>
      <c r="E198" s="4">
        <v>217</v>
      </c>
      <c r="F198" s="4">
        <f>ROUND(Source!AU181,O198)</f>
        <v>848729.62</v>
      </c>
      <c r="G198" s="4" t="s">
        <v>239</v>
      </c>
      <c r="H198" s="4" t="s">
        <v>240</v>
      </c>
      <c r="I198" s="4"/>
      <c r="J198" s="4"/>
      <c r="K198" s="4">
        <v>217</v>
      </c>
      <c r="L198" s="4">
        <v>16</v>
      </c>
      <c r="M198" s="4">
        <v>3</v>
      </c>
      <c r="N198" s="4" t="s">
        <v>3</v>
      </c>
      <c r="O198" s="4">
        <v>2</v>
      </c>
      <c r="P198" s="4"/>
    </row>
    <row r="199" spans="1:16" ht="12.75">
      <c r="A199" s="4">
        <v>50</v>
      </c>
      <c r="B199" s="4">
        <v>0</v>
      </c>
      <c r="C199" s="4">
        <v>0</v>
      </c>
      <c r="D199" s="4">
        <v>1</v>
      </c>
      <c r="E199" s="4">
        <v>206</v>
      </c>
      <c r="F199" s="4">
        <f>ROUND(Source!T181,O199)</f>
        <v>0</v>
      </c>
      <c r="G199" s="4" t="s">
        <v>241</v>
      </c>
      <c r="H199" s="4" t="s">
        <v>242</v>
      </c>
      <c r="I199" s="4"/>
      <c r="J199" s="4"/>
      <c r="K199" s="4">
        <v>206</v>
      </c>
      <c r="L199" s="4">
        <v>17</v>
      </c>
      <c r="M199" s="4">
        <v>3</v>
      </c>
      <c r="N199" s="4" t="s">
        <v>3</v>
      </c>
      <c r="O199" s="4">
        <v>2</v>
      </c>
      <c r="P199" s="4"/>
    </row>
    <row r="200" spans="1:16" ht="12.75">
      <c r="A200" s="4">
        <v>50</v>
      </c>
      <c r="B200" s="4">
        <v>0</v>
      </c>
      <c r="C200" s="4">
        <v>0</v>
      </c>
      <c r="D200" s="4">
        <v>1</v>
      </c>
      <c r="E200" s="4">
        <v>207</v>
      </c>
      <c r="F200" s="4">
        <f>Source!U181</f>
        <v>851.5374259999999</v>
      </c>
      <c r="G200" s="4" t="s">
        <v>243</v>
      </c>
      <c r="H200" s="4" t="s">
        <v>244</v>
      </c>
      <c r="I200" s="4"/>
      <c r="J200" s="4"/>
      <c r="K200" s="4">
        <v>207</v>
      </c>
      <c r="L200" s="4">
        <v>18</v>
      </c>
      <c r="M200" s="4">
        <v>3</v>
      </c>
      <c r="N200" s="4" t="s">
        <v>3</v>
      </c>
      <c r="O200" s="4">
        <v>-1</v>
      </c>
      <c r="P200" s="4"/>
    </row>
    <row r="201" spans="1:16" ht="12.75">
      <c r="A201" s="4">
        <v>50</v>
      </c>
      <c r="B201" s="4">
        <v>0</v>
      </c>
      <c r="C201" s="4">
        <v>0</v>
      </c>
      <c r="D201" s="4">
        <v>1</v>
      </c>
      <c r="E201" s="4">
        <v>208</v>
      </c>
      <c r="F201" s="4">
        <f>Source!V181</f>
        <v>0</v>
      </c>
      <c r="G201" s="4" t="s">
        <v>245</v>
      </c>
      <c r="H201" s="4" t="s">
        <v>246</v>
      </c>
      <c r="I201" s="4"/>
      <c r="J201" s="4"/>
      <c r="K201" s="4">
        <v>208</v>
      </c>
      <c r="L201" s="4">
        <v>19</v>
      </c>
      <c r="M201" s="4">
        <v>3</v>
      </c>
      <c r="N201" s="4" t="s">
        <v>3</v>
      </c>
      <c r="O201" s="4">
        <v>-1</v>
      </c>
      <c r="P201" s="4"/>
    </row>
    <row r="202" spans="1:16" ht="12.75">
      <c r="A202" s="4">
        <v>50</v>
      </c>
      <c r="B202" s="4">
        <v>0</v>
      </c>
      <c r="C202" s="4">
        <v>0</v>
      </c>
      <c r="D202" s="4">
        <v>1</v>
      </c>
      <c r="E202" s="4">
        <v>209</v>
      </c>
      <c r="F202" s="4">
        <f>ROUND(Source!W181,O202)</f>
        <v>0</v>
      </c>
      <c r="G202" s="4" t="s">
        <v>247</v>
      </c>
      <c r="H202" s="4" t="s">
        <v>248</v>
      </c>
      <c r="I202" s="4"/>
      <c r="J202" s="4"/>
      <c r="K202" s="4">
        <v>209</v>
      </c>
      <c r="L202" s="4">
        <v>20</v>
      </c>
      <c r="M202" s="4">
        <v>3</v>
      </c>
      <c r="N202" s="4" t="s">
        <v>3</v>
      </c>
      <c r="O202" s="4">
        <v>2</v>
      </c>
      <c r="P202" s="4"/>
    </row>
    <row r="203" spans="1:16" ht="12.75">
      <c r="A203" s="4">
        <v>50</v>
      </c>
      <c r="B203" s="4">
        <v>0</v>
      </c>
      <c r="C203" s="4">
        <v>0</v>
      </c>
      <c r="D203" s="4">
        <v>1</v>
      </c>
      <c r="E203" s="4">
        <v>210</v>
      </c>
      <c r="F203" s="4">
        <f>ROUND(Source!X181,O203)</f>
        <v>106668.07</v>
      </c>
      <c r="G203" s="4" t="s">
        <v>249</v>
      </c>
      <c r="H203" s="4" t="s">
        <v>250</v>
      </c>
      <c r="I203" s="4"/>
      <c r="J203" s="4"/>
      <c r="K203" s="4">
        <v>210</v>
      </c>
      <c r="L203" s="4">
        <v>21</v>
      </c>
      <c r="M203" s="4">
        <v>3</v>
      </c>
      <c r="N203" s="4" t="s">
        <v>3</v>
      </c>
      <c r="O203" s="4">
        <v>2</v>
      </c>
      <c r="P203" s="4"/>
    </row>
    <row r="204" spans="1:16" ht="12.75">
      <c r="A204" s="4">
        <v>50</v>
      </c>
      <c r="B204" s="4">
        <v>0</v>
      </c>
      <c r="C204" s="4">
        <v>0</v>
      </c>
      <c r="D204" s="4">
        <v>1</v>
      </c>
      <c r="E204" s="4">
        <v>211</v>
      </c>
      <c r="F204" s="4">
        <f>ROUND(Source!Y181,O204)</f>
        <v>15238.29</v>
      </c>
      <c r="G204" s="4" t="s">
        <v>251</v>
      </c>
      <c r="H204" s="4" t="s">
        <v>252</v>
      </c>
      <c r="I204" s="4"/>
      <c r="J204" s="4"/>
      <c r="K204" s="4">
        <v>211</v>
      </c>
      <c r="L204" s="4">
        <v>22</v>
      </c>
      <c r="M204" s="4">
        <v>3</v>
      </c>
      <c r="N204" s="4" t="s">
        <v>3</v>
      </c>
      <c r="O204" s="4">
        <v>2</v>
      </c>
      <c r="P204" s="4"/>
    </row>
    <row r="205" spans="1:16" ht="12.75">
      <c r="A205" s="4">
        <v>50</v>
      </c>
      <c r="B205" s="4">
        <v>0</v>
      </c>
      <c r="C205" s="4">
        <v>0</v>
      </c>
      <c r="D205" s="4">
        <v>1</v>
      </c>
      <c r="E205" s="4">
        <v>224</v>
      </c>
      <c r="F205" s="4">
        <f>ROUND(Source!AR181,O205)</f>
        <v>848729.62</v>
      </c>
      <c r="G205" s="4" t="s">
        <v>253</v>
      </c>
      <c r="H205" s="4" t="s">
        <v>254</v>
      </c>
      <c r="I205" s="4"/>
      <c r="J205" s="4"/>
      <c r="K205" s="4">
        <v>224</v>
      </c>
      <c r="L205" s="4">
        <v>23</v>
      </c>
      <c r="M205" s="4">
        <v>3</v>
      </c>
      <c r="N205" s="4" t="s">
        <v>3</v>
      </c>
      <c r="O205" s="4">
        <v>2</v>
      </c>
      <c r="P205" s="4"/>
    </row>
    <row r="207" spans="1:118" ht="12.75">
      <c r="A207" s="2">
        <v>51</v>
      </c>
      <c r="B207" s="2">
        <f>B12</f>
        <v>239</v>
      </c>
      <c r="C207" s="2">
        <f>A12</f>
        <v>1</v>
      </c>
      <c r="D207" s="2">
        <f>ROW(A12)</f>
        <v>12</v>
      </c>
      <c r="E207" s="2"/>
      <c r="F207" s="2" t="str">
        <f>IF(F12&lt;&gt;"",F12,"")</f>
        <v>Новый объект</v>
      </c>
      <c r="G207" s="2" t="str">
        <f>IF(G12&lt;&gt;"",G12,"")</f>
        <v>ГБОУ Школа №305" по адресу : проезд Черского, дом 27А  Вентиляция</v>
      </c>
      <c r="H207" s="2"/>
      <c r="I207" s="2"/>
      <c r="J207" s="2"/>
      <c r="K207" s="2"/>
      <c r="L207" s="2"/>
      <c r="M207" s="2"/>
      <c r="N207" s="2"/>
      <c r="O207" s="2">
        <f aca="true" t="shared" si="140" ref="O207:T207">ROUND(O181,2)</f>
        <v>723328.24</v>
      </c>
      <c r="P207" s="2">
        <f t="shared" si="140"/>
        <v>562313.1</v>
      </c>
      <c r="Q207" s="2">
        <f t="shared" si="140"/>
        <v>8632.21</v>
      </c>
      <c r="R207" s="2">
        <f t="shared" si="140"/>
        <v>3236.14</v>
      </c>
      <c r="S207" s="2">
        <f t="shared" si="140"/>
        <v>152382.93</v>
      </c>
      <c r="T207" s="2">
        <f t="shared" si="140"/>
        <v>0</v>
      </c>
      <c r="U207" s="2">
        <f>U181</f>
        <v>851.5374259999999</v>
      </c>
      <c r="V207" s="2">
        <f>V181</f>
        <v>0</v>
      </c>
      <c r="W207" s="2">
        <f>ROUND(W181,2)</f>
        <v>0</v>
      </c>
      <c r="X207" s="2">
        <f>ROUND(X181,2)</f>
        <v>106668.07</v>
      </c>
      <c r="Y207" s="2">
        <f>ROUND(Y181,2)</f>
        <v>15238.29</v>
      </c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>
        <f aca="true" t="shared" si="141" ref="AO207:AZ207">ROUND(AO181,2)</f>
        <v>0</v>
      </c>
      <c r="AP207" s="2">
        <f t="shared" si="141"/>
        <v>0</v>
      </c>
      <c r="AQ207" s="2">
        <f t="shared" si="141"/>
        <v>0</v>
      </c>
      <c r="AR207" s="2">
        <f t="shared" si="141"/>
        <v>848729.62</v>
      </c>
      <c r="AS207" s="2">
        <f t="shared" si="141"/>
        <v>0</v>
      </c>
      <c r="AT207" s="2">
        <f t="shared" si="141"/>
        <v>0</v>
      </c>
      <c r="AU207" s="2">
        <f t="shared" si="141"/>
        <v>848729.62</v>
      </c>
      <c r="AV207" s="2">
        <f t="shared" si="141"/>
        <v>562313.1</v>
      </c>
      <c r="AW207" s="2">
        <f t="shared" si="141"/>
        <v>562313.1</v>
      </c>
      <c r="AX207" s="2">
        <f t="shared" si="141"/>
        <v>0</v>
      </c>
      <c r="AY207" s="2">
        <f t="shared" si="141"/>
        <v>562313.1</v>
      </c>
      <c r="AZ207" s="2">
        <f t="shared" si="141"/>
        <v>0</v>
      </c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>
        <v>0</v>
      </c>
    </row>
    <row r="209" spans="1:16" ht="12.75">
      <c r="A209" s="4">
        <v>50</v>
      </c>
      <c r="B209" s="4">
        <v>0</v>
      </c>
      <c r="C209" s="4">
        <v>0</v>
      </c>
      <c r="D209" s="4">
        <v>1</v>
      </c>
      <c r="E209" s="4">
        <v>201</v>
      </c>
      <c r="F209" s="4">
        <f>ROUND(Source!O207,O209)</f>
        <v>723328.24</v>
      </c>
      <c r="G209" s="4" t="s">
        <v>209</v>
      </c>
      <c r="H209" s="4" t="s">
        <v>210</v>
      </c>
      <c r="I209" s="4"/>
      <c r="J209" s="4"/>
      <c r="K209" s="4">
        <v>201</v>
      </c>
      <c r="L209" s="4">
        <v>1</v>
      </c>
      <c r="M209" s="4">
        <v>3</v>
      </c>
      <c r="N209" s="4" t="s">
        <v>3</v>
      </c>
      <c r="O209" s="4">
        <v>2</v>
      </c>
      <c r="P209" s="4"/>
    </row>
    <row r="210" spans="1:16" ht="12.75">
      <c r="A210" s="4">
        <v>50</v>
      </c>
      <c r="B210" s="4">
        <v>0</v>
      </c>
      <c r="C210" s="4">
        <v>0</v>
      </c>
      <c r="D210" s="4">
        <v>1</v>
      </c>
      <c r="E210" s="4">
        <v>202</v>
      </c>
      <c r="F210" s="4">
        <f>ROUND(Source!P207,O210)</f>
        <v>562313.1</v>
      </c>
      <c r="G210" s="4" t="s">
        <v>211</v>
      </c>
      <c r="H210" s="4" t="s">
        <v>212</v>
      </c>
      <c r="I210" s="4"/>
      <c r="J210" s="4"/>
      <c r="K210" s="4">
        <v>202</v>
      </c>
      <c r="L210" s="4">
        <v>2</v>
      </c>
      <c r="M210" s="4">
        <v>3</v>
      </c>
      <c r="N210" s="4" t="s">
        <v>3</v>
      </c>
      <c r="O210" s="4">
        <v>2</v>
      </c>
      <c r="P210" s="4"/>
    </row>
    <row r="211" spans="1:16" ht="12.75">
      <c r="A211" s="4">
        <v>50</v>
      </c>
      <c r="B211" s="4">
        <v>0</v>
      </c>
      <c r="C211" s="4">
        <v>0</v>
      </c>
      <c r="D211" s="4">
        <v>1</v>
      </c>
      <c r="E211" s="4">
        <v>222</v>
      </c>
      <c r="F211" s="4">
        <f>ROUND(Source!AO207,O211)</f>
        <v>0</v>
      </c>
      <c r="G211" s="4" t="s">
        <v>213</v>
      </c>
      <c r="H211" s="4" t="s">
        <v>214</v>
      </c>
      <c r="I211" s="4"/>
      <c r="J211" s="4"/>
      <c r="K211" s="4">
        <v>222</v>
      </c>
      <c r="L211" s="4">
        <v>3</v>
      </c>
      <c r="M211" s="4">
        <v>3</v>
      </c>
      <c r="N211" s="4" t="s">
        <v>3</v>
      </c>
      <c r="O211" s="4">
        <v>2</v>
      </c>
      <c r="P211" s="4"/>
    </row>
    <row r="212" spans="1:16" ht="12.75">
      <c r="A212" s="4">
        <v>50</v>
      </c>
      <c r="B212" s="4">
        <v>0</v>
      </c>
      <c r="C212" s="4">
        <v>0</v>
      </c>
      <c r="D212" s="4">
        <v>1</v>
      </c>
      <c r="E212" s="4">
        <v>225</v>
      </c>
      <c r="F212" s="4">
        <f>ROUND(Source!AV207,O212)</f>
        <v>562313.1</v>
      </c>
      <c r="G212" s="4" t="s">
        <v>215</v>
      </c>
      <c r="H212" s="4" t="s">
        <v>216</v>
      </c>
      <c r="I212" s="4"/>
      <c r="J212" s="4"/>
      <c r="K212" s="4">
        <v>225</v>
      </c>
      <c r="L212" s="4">
        <v>4</v>
      </c>
      <c r="M212" s="4">
        <v>3</v>
      </c>
      <c r="N212" s="4" t="s">
        <v>3</v>
      </c>
      <c r="O212" s="4">
        <v>2</v>
      </c>
      <c r="P212" s="4"/>
    </row>
    <row r="213" spans="1:16" ht="12.75">
      <c r="A213" s="4">
        <v>50</v>
      </c>
      <c r="B213" s="4">
        <v>0</v>
      </c>
      <c r="C213" s="4">
        <v>0</v>
      </c>
      <c r="D213" s="4">
        <v>1</v>
      </c>
      <c r="E213" s="4">
        <v>226</v>
      </c>
      <c r="F213" s="4">
        <f>ROUND(Source!AW207,O213)</f>
        <v>562313.1</v>
      </c>
      <c r="G213" s="4" t="s">
        <v>217</v>
      </c>
      <c r="H213" s="4" t="s">
        <v>218</v>
      </c>
      <c r="I213" s="4"/>
      <c r="J213" s="4"/>
      <c r="K213" s="4">
        <v>226</v>
      </c>
      <c r="L213" s="4">
        <v>5</v>
      </c>
      <c r="M213" s="4">
        <v>3</v>
      </c>
      <c r="N213" s="4" t="s">
        <v>3</v>
      </c>
      <c r="O213" s="4">
        <v>2</v>
      </c>
      <c r="P213" s="4"/>
    </row>
    <row r="214" spans="1:16" ht="12.75">
      <c r="A214" s="4">
        <v>50</v>
      </c>
      <c r="B214" s="4">
        <v>0</v>
      </c>
      <c r="C214" s="4">
        <v>0</v>
      </c>
      <c r="D214" s="4">
        <v>1</v>
      </c>
      <c r="E214" s="4">
        <v>227</v>
      </c>
      <c r="F214" s="4">
        <f>ROUND(Source!AX207,O214)</f>
        <v>0</v>
      </c>
      <c r="G214" s="4" t="s">
        <v>219</v>
      </c>
      <c r="H214" s="4" t="s">
        <v>220</v>
      </c>
      <c r="I214" s="4"/>
      <c r="J214" s="4"/>
      <c r="K214" s="4">
        <v>227</v>
      </c>
      <c r="L214" s="4">
        <v>6</v>
      </c>
      <c r="M214" s="4">
        <v>3</v>
      </c>
      <c r="N214" s="4" t="s">
        <v>3</v>
      </c>
      <c r="O214" s="4">
        <v>2</v>
      </c>
      <c r="P214" s="4"/>
    </row>
    <row r="215" spans="1:16" ht="12.75">
      <c r="A215" s="4">
        <v>50</v>
      </c>
      <c r="B215" s="4">
        <v>0</v>
      </c>
      <c r="C215" s="4">
        <v>0</v>
      </c>
      <c r="D215" s="4">
        <v>1</v>
      </c>
      <c r="E215" s="4">
        <v>228</v>
      </c>
      <c r="F215" s="4">
        <f>ROUND(Source!AY207,O215)</f>
        <v>562313.1</v>
      </c>
      <c r="G215" s="4" t="s">
        <v>221</v>
      </c>
      <c r="H215" s="4" t="s">
        <v>222</v>
      </c>
      <c r="I215" s="4"/>
      <c r="J215" s="4"/>
      <c r="K215" s="4">
        <v>228</v>
      </c>
      <c r="L215" s="4">
        <v>7</v>
      </c>
      <c r="M215" s="4">
        <v>3</v>
      </c>
      <c r="N215" s="4" t="s">
        <v>3</v>
      </c>
      <c r="O215" s="4">
        <v>2</v>
      </c>
      <c r="P215" s="4"/>
    </row>
    <row r="216" spans="1:16" ht="12.75">
      <c r="A216" s="4">
        <v>50</v>
      </c>
      <c r="B216" s="4">
        <v>0</v>
      </c>
      <c r="C216" s="4">
        <v>0</v>
      </c>
      <c r="D216" s="4">
        <v>1</v>
      </c>
      <c r="E216" s="4">
        <v>216</v>
      </c>
      <c r="F216" s="4">
        <f>ROUND(Source!AP207,O216)</f>
        <v>0</v>
      </c>
      <c r="G216" s="4" t="s">
        <v>223</v>
      </c>
      <c r="H216" s="4" t="s">
        <v>224</v>
      </c>
      <c r="I216" s="4"/>
      <c r="J216" s="4"/>
      <c r="K216" s="4">
        <v>216</v>
      </c>
      <c r="L216" s="4">
        <v>8</v>
      </c>
      <c r="M216" s="4">
        <v>3</v>
      </c>
      <c r="N216" s="4" t="s">
        <v>3</v>
      </c>
      <c r="O216" s="4">
        <v>2</v>
      </c>
      <c r="P216" s="4"/>
    </row>
    <row r="217" spans="1:16" ht="12.75">
      <c r="A217" s="4">
        <v>50</v>
      </c>
      <c r="B217" s="4">
        <v>0</v>
      </c>
      <c r="C217" s="4">
        <v>0</v>
      </c>
      <c r="D217" s="4">
        <v>1</v>
      </c>
      <c r="E217" s="4">
        <v>223</v>
      </c>
      <c r="F217" s="4">
        <f>ROUND(Source!AQ207,O217)</f>
        <v>0</v>
      </c>
      <c r="G217" s="4" t="s">
        <v>225</v>
      </c>
      <c r="H217" s="4" t="s">
        <v>226</v>
      </c>
      <c r="I217" s="4"/>
      <c r="J217" s="4"/>
      <c r="K217" s="4">
        <v>223</v>
      </c>
      <c r="L217" s="4">
        <v>9</v>
      </c>
      <c r="M217" s="4">
        <v>3</v>
      </c>
      <c r="N217" s="4" t="s">
        <v>3</v>
      </c>
      <c r="O217" s="4">
        <v>2</v>
      </c>
      <c r="P217" s="4"/>
    </row>
    <row r="218" spans="1:16" ht="12.75">
      <c r="A218" s="4">
        <v>50</v>
      </c>
      <c r="B218" s="4">
        <v>0</v>
      </c>
      <c r="C218" s="4">
        <v>0</v>
      </c>
      <c r="D218" s="4">
        <v>1</v>
      </c>
      <c r="E218" s="4">
        <v>229</v>
      </c>
      <c r="F218" s="4">
        <f>ROUND(Source!AZ207,O218)</f>
        <v>0</v>
      </c>
      <c r="G218" s="4" t="s">
        <v>227</v>
      </c>
      <c r="H218" s="4" t="s">
        <v>228</v>
      </c>
      <c r="I218" s="4"/>
      <c r="J218" s="4"/>
      <c r="K218" s="4">
        <v>229</v>
      </c>
      <c r="L218" s="4">
        <v>10</v>
      </c>
      <c r="M218" s="4">
        <v>3</v>
      </c>
      <c r="N218" s="4" t="s">
        <v>3</v>
      </c>
      <c r="O218" s="4">
        <v>2</v>
      </c>
      <c r="P218" s="4"/>
    </row>
    <row r="219" spans="1:16" ht="12.75">
      <c r="A219" s="4">
        <v>50</v>
      </c>
      <c r="B219" s="4">
        <v>0</v>
      </c>
      <c r="C219" s="4">
        <v>0</v>
      </c>
      <c r="D219" s="4">
        <v>1</v>
      </c>
      <c r="E219" s="4">
        <v>203</v>
      </c>
      <c r="F219" s="4">
        <f>ROUND(Source!Q207,O219)</f>
        <v>8632.21</v>
      </c>
      <c r="G219" s="4" t="s">
        <v>229</v>
      </c>
      <c r="H219" s="4" t="s">
        <v>230</v>
      </c>
      <c r="I219" s="4"/>
      <c r="J219" s="4"/>
      <c r="K219" s="4">
        <v>203</v>
      </c>
      <c r="L219" s="4">
        <v>11</v>
      </c>
      <c r="M219" s="4">
        <v>3</v>
      </c>
      <c r="N219" s="4" t="s">
        <v>3</v>
      </c>
      <c r="O219" s="4">
        <v>2</v>
      </c>
      <c r="P219" s="4"/>
    </row>
    <row r="220" spans="1:16" ht="12.75">
      <c r="A220" s="4">
        <v>50</v>
      </c>
      <c r="B220" s="4">
        <v>0</v>
      </c>
      <c r="C220" s="4">
        <v>0</v>
      </c>
      <c r="D220" s="4">
        <v>1</v>
      </c>
      <c r="E220" s="4">
        <v>204</v>
      </c>
      <c r="F220" s="4">
        <f>ROUND(Source!R207,O220)</f>
        <v>3236.14</v>
      </c>
      <c r="G220" s="4" t="s">
        <v>231</v>
      </c>
      <c r="H220" s="4" t="s">
        <v>232</v>
      </c>
      <c r="I220" s="4"/>
      <c r="J220" s="4"/>
      <c r="K220" s="4">
        <v>204</v>
      </c>
      <c r="L220" s="4">
        <v>12</v>
      </c>
      <c r="M220" s="4">
        <v>3</v>
      </c>
      <c r="N220" s="4" t="s">
        <v>3</v>
      </c>
      <c r="O220" s="4">
        <v>2</v>
      </c>
      <c r="P220" s="4"/>
    </row>
    <row r="221" spans="1:16" ht="12.75">
      <c r="A221" s="4">
        <v>50</v>
      </c>
      <c r="B221" s="4">
        <v>0</v>
      </c>
      <c r="C221" s="4">
        <v>0</v>
      </c>
      <c r="D221" s="4">
        <v>1</v>
      </c>
      <c r="E221" s="4">
        <v>205</v>
      </c>
      <c r="F221" s="4">
        <f>ROUND(Source!S207,O221)</f>
        <v>152382.93</v>
      </c>
      <c r="G221" s="4" t="s">
        <v>233</v>
      </c>
      <c r="H221" s="4" t="s">
        <v>234</v>
      </c>
      <c r="I221" s="4"/>
      <c r="J221" s="4"/>
      <c r="K221" s="4">
        <v>205</v>
      </c>
      <c r="L221" s="4">
        <v>13</v>
      </c>
      <c r="M221" s="4">
        <v>3</v>
      </c>
      <c r="N221" s="4" t="s">
        <v>3</v>
      </c>
      <c r="O221" s="4">
        <v>2</v>
      </c>
      <c r="P221" s="4"/>
    </row>
    <row r="222" spans="1:16" ht="12.75">
      <c r="A222" s="4">
        <v>50</v>
      </c>
      <c r="B222" s="4">
        <v>0</v>
      </c>
      <c r="C222" s="4">
        <v>0</v>
      </c>
      <c r="D222" s="4">
        <v>1</v>
      </c>
      <c r="E222" s="4">
        <v>214</v>
      </c>
      <c r="F222" s="4">
        <f>ROUND(Source!AS207,O222)</f>
        <v>0</v>
      </c>
      <c r="G222" s="4" t="s">
        <v>235</v>
      </c>
      <c r="H222" s="4" t="s">
        <v>236</v>
      </c>
      <c r="I222" s="4"/>
      <c r="J222" s="4"/>
      <c r="K222" s="4">
        <v>214</v>
      </c>
      <c r="L222" s="4">
        <v>14</v>
      </c>
      <c r="M222" s="4">
        <v>3</v>
      </c>
      <c r="N222" s="4" t="s">
        <v>3</v>
      </c>
      <c r="O222" s="4">
        <v>2</v>
      </c>
      <c r="P222" s="4"/>
    </row>
    <row r="223" spans="1:16" ht="12.75">
      <c r="A223" s="4">
        <v>50</v>
      </c>
      <c r="B223" s="4">
        <v>0</v>
      </c>
      <c r="C223" s="4">
        <v>0</v>
      </c>
      <c r="D223" s="4">
        <v>1</v>
      </c>
      <c r="E223" s="4">
        <v>215</v>
      </c>
      <c r="F223" s="4">
        <f>ROUND(Source!AT207,O223)</f>
        <v>0</v>
      </c>
      <c r="G223" s="4" t="s">
        <v>237</v>
      </c>
      <c r="H223" s="4" t="s">
        <v>238</v>
      </c>
      <c r="I223" s="4"/>
      <c r="J223" s="4"/>
      <c r="K223" s="4">
        <v>215</v>
      </c>
      <c r="L223" s="4">
        <v>15</v>
      </c>
      <c r="M223" s="4">
        <v>3</v>
      </c>
      <c r="N223" s="4" t="s">
        <v>3</v>
      </c>
      <c r="O223" s="4">
        <v>2</v>
      </c>
      <c r="P223" s="4"/>
    </row>
    <row r="224" spans="1:16" ht="12.75">
      <c r="A224" s="4">
        <v>50</v>
      </c>
      <c r="B224" s="4">
        <v>0</v>
      </c>
      <c r="C224" s="4">
        <v>0</v>
      </c>
      <c r="D224" s="4">
        <v>1</v>
      </c>
      <c r="E224" s="4">
        <v>217</v>
      </c>
      <c r="F224" s="4">
        <f>ROUND(Source!AU207,O224)</f>
        <v>848729.62</v>
      </c>
      <c r="G224" s="4" t="s">
        <v>239</v>
      </c>
      <c r="H224" s="4" t="s">
        <v>240</v>
      </c>
      <c r="I224" s="4"/>
      <c r="J224" s="4"/>
      <c r="K224" s="4">
        <v>217</v>
      </c>
      <c r="L224" s="4">
        <v>16</v>
      </c>
      <c r="M224" s="4">
        <v>3</v>
      </c>
      <c r="N224" s="4" t="s">
        <v>3</v>
      </c>
      <c r="O224" s="4">
        <v>2</v>
      </c>
      <c r="P224" s="4"/>
    </row>
    <row r="225" spans="1:16" ht="12.75">
      <c r="A225" s="4">
        <v>50</v>
      </c>
      <c r="B225" s="4">
        <v>0</v>
      </c>
      <c r="C225" s="4">
        <v>0</v>
      </c>
      <c r="D225" s="4">
        <v>1</v>
      </c>
      <c r="E225" s="4">
        <v>206</v>
      </c>
      <c r="F225" s="4">
        <f>ROUND(Source!T207,O225)</f>
        <v>0</v>
      </c>
      <c r="G225" s="4" t="s">
        <v>241</v>
      </c>
      <c r="H225" s="4" t="s">
        <v>242</v>
      </c>
      <c r="I225" s="4"/>
      <c r="J225" s="4"/>
      <c r="K225" s="4">
        <v>206</v>
      </c>
      <c r="L225" s="4">
        <v>17</v>
      </c>
      <c r="M225" s="4">
        <v>3</v>
      </c>
      <c r="N225" s="4" t="s">
        <v>3</v>
      </c>
      <c r="O225" s="4">
        <v>2</v>
      </c>
      <c r="P225" s="4"/>
    </row>
    <row r="226" spans="1:16" ht="12.75">
      <c r="A226" s="4">
        <v>50</v>
      </c>
      <c r="B226" s="4">
        <v>0</v>
      </c>
      <c r="C226" s="4">
        <v>0</v>
      </c>
      <c r="D226" s="4">
        <v>1</v>
      </c>
      <c r="E226" s="4">
        <v>207</v>
      </c>
      <c r="F226" s="4">
        <f>Source!U207</f>
        <v>851.5374259999999</v>
      </c>
      <c r="G226" s="4" t="s">
        <v>243</v>
      </c>
      <c r="H226" s="4" t="s">
        <v>244</v>
      </c>
      <c r="I226" s="4"/>
      <c r="J226" s="4"/>
      <c r="K226" s="4">
        <v>207</v>
      </c>
      <c r="L226" s="4">
        <v>18</v>
      </c>
      <c r="M226" s="4">
        <v>3</v>
      </c>
      <c r="N226" s="4" t="s">
        <v>3</v>
      </c>
      <c r="O226" s="4">
        <v>-1</v>
      </c>
      <c r="P226" s="4"/>
    </row>
    <row r="227" spans="1:16" ht="12.75">
      <c r="A227" s="4">
        <v>50</v>
      </c>
      <c r="B227" s="4">
        <v>0</v>
      </c>
      <c r="C227" s="4">
        <v>0</v>
      </c>
      <c r="D227" s="4">
        <v>1</v>
      </c>
      <c r="E227" s="4">
        <v>208</v>
      </c>
      <c r="F227" s="4">
        <f>Source!V207</f>
        <v>0</v>
      </c>
      <c r="G227" s="4" t="s">
        <v>245</v>
      </c>
      <c r="H227" s="4" t="s">
        <v>246</v>
      </c>
      <c r="I227" s="4"/>
      <c r="J227" s="4"/>
      <c r="K227" s="4">
        <v>208</v>
      </c>
      <c r="L227" s="4">
        <v>19</v>
      </c>
      <c r="M227" s="4">
        <v>3</v>
      </c>
      <c r="N227" s="4" t="s">
        <v>3</v>
      </c>
      <c r="O227" s="4">
        <v>-1</v>
      </c>
      <c r="P227" s="4"/>
    </row>
    <row r="228" spans="1:16" ht="12.75">
      <c r="A228" s="4">
        <v>50</v>
      </c>
      <c r="B228" s="4">
        <v>0</v>
      </c>
      <c r="C228" s="4">
        <v>0</v>
      </c>
      <c r="D228" s="4">
        <v>1</v>
      </c>
      <c r="E228" s="4">
        <v>209</v>
      </c>
      <c r="F228" s="4">
        <f>ROUND(Source!W207,O228)</f>
        <v>0</v>
      </c>
      <c r="G228" s="4" t="s">
        <v>247</v>
      </c>
      <c r="H228" s="4" t="s">
        <v>248</v>
      </c>
      <c r="I228" s="4"/>
      <c r="J228" s="4"/>
      <c r="K228" s="4">
        <v>209</v>
      </c>
      <c r="L228" s="4">
        <v>20</v>
      </c>
      <c r="M228" s="4">
        <v>3</v>
      </c>
      <c r="N228" s="4" t="s">
        <v>3</v>
      </c>
      <c r="O228" s="4">
        <v>2</v>
      </c>
      <c r="P228" s="4"/>
    </row>
    <row r="229" spans="1:16" ht="12.75">
      <c r="A229" s="4">
        <v>50</v>
      </c>
      <c r="B229" s="4">
        <v>0</v>
      </c>
      <c r="C229" s="4">
        <v>0</v>
      </c>
      <c r="D229" s="4">
        <v>1</v>
      </c>
      <c r="E229" s="4">
        <v>210</v>
      </c>
      <c r="F229" s="4">
        <f>ROUND(Source!X207,O229)</f>
        <v>106668.07</v>
      </c>
      <c r="G229" s="4" t="s">
        <v>249</v>
      </c>
      <c r="H229" s="4" t="s">
        <v>250</v>
      </c>
      <c r="I229" s="4"/>
      <c r="J229" s="4"/>
      <c r="K229" s="4">
        <v>210</v>
      </c>
      <c r="L229" s="4">
        <v>21</v>
      </c>
      <c r="M229" s="4">
        <v>3</v>
      </c>
      <c r="N229" s="4" t="s">
        <v>3</v>
      </c>
      <c r="O229" s="4">
        <v>2</v>
      </c>
      <c r="P229" s="4"/>
    </row>
    <row r="230" spans="1:16" ht="12.75">
      <c r="A230" s="4">
        <v>50</v>
      </c>
      <c r="B230" s="4">
        <v>0</v>
      </c>
      <c r="C230" s="4">
        <v>0</v>
      </c>
      <c r="D230" s="4">
        <v>1</v>
      </c>
      <c r="E230" s="4">
        <v>211</v>
      </c>
      <c r="F230" s="4">
        <f>ROUND(Source!Y207,O230)</f>
        <v>15238.29</v>
      </c>
      <c r="G230" s="4" t="s">
        <v>251</v>
      </c>
      <c r="H230" s="4" t="s">
        <v>252</v>
      </c>
      <c r="I230" s="4"/>
      <c r="J230" s="4"/>
      <c r="K230" s="4">
        <v>211</v>
      </c>
      <c r="L230" s="4">
        <v>22</v>
      </c>
      <c r="M230" s="4">
        <v>3</v>
      </c>
      <c r="N230" s="4" t="s">
        <v>3</v>
      </c>
      <c r="O230" s="4">
        <v>2</v>
      </c>
      <c r="P230" s="4"/>
    </row>
    <row r="231" spans="1:16" ht="12.75">
      <c r="A231" s="4">
        <v>50</v>
      </c>
      <c r="B231" s="4">
        <v>0</v>
      </c>
      <c r="C231" s="4">
        <v>0</v>
      </c>
      <c r="D231" s="4">
        <v>1</v>
      </c>
      <c r="E231" s="4">
        <v>224</v>
      </c>
      <c r="F231" s="4">
        <f>ROUND(Source!AR207,O231)</f>
        <v>848729.62</v>
      </c>
      <c r="G231" s="4" t="s">
        <v>253</v>
      </c>
      <c r="H231" s="4" t="s">
        <v>254</v>
      </c>
      <c r="I231" s="4"/>
      <c r="J231" s="4"/>
      <c r="K231" s="4">
        <v>224</v>
      </c>
      <c r="L231" s="4">
        <v>23</v>
      </c>
      <c r="M231" s="4">
        <v>3</v>
      </c>
      <c r="N231" s="4" t="s">
        <v>3</v>
      </c>
      <c r="O231" s="4">
        <v>2</v>
      </c>
      <c r="P231" s="4"/>
    </row>
    <row r="232" spans="1:16" ht="12.75">
      <c r="A232" s="4">
        <v>50</v>
      </c>
      <c r="B232" s="4">
        <v>1</v>
      </c>
      <c r="C232" s="4">
        <v>0</v>
      </c>
      <c r="D232" s="4">
        <v>2</v>
      </c>
      <c r="E232" s="4">
        <v>0</v>
      </c>
      <c r="F232" s="4">
        <f>ROUND(F231*0.18,O232)</f>
        <v>152771.33</v>
      </c>
      <c r="G232" s="4" t="s">
        <v>284</v>
      </c>
      <c r="H232" s="4" t="s">
        <v>285</v>
      </c>
      <c r="I232" s="4"/>
      <c r="J232" s="4"/>
      <c r="K232" s="4">
        <v>212</v>
      </c>
      <c r="L232" s="4">
        <v>24</v>
      </c>
      <c r="M232" s="4">
        <v>0</v>
      </c>
      <c r="N232" s="4" t="s">
        <v>3</v>
      </c>
      <c r="O232" s="4">
        <v>2</v>
      </c>
      <c r="P232" s="4"/>
    </row>
    <row r="233" spans="1:16" ht="12.75">
      <c r="A233" s="4">
        <v>50</v>
      </c>
      <c r="B233" s="4">
        <v>1</v>
      </c>
      <c r="C233" s="4">
        <v>0</v>
      </c>
      <c r="D233" s="4">
        <v>2</v>
      </c>
      <c r="E233" s="4">
        <v>0</v>
      </c>
      <c r="F233" s="4">
        <f>ROUND(F231+F232,O233)</f>
        <v>1001500.95</v>
      </c>
      <c r="G233" s="4" t="s">
        <v>286</v>
      </c>
      <c r="H233" s="4" t="s">
        <v>287</v>
      </c>
      <c r="I233" s="4"/>
      <c r="J233" s="4"/>
      <c r="K233" s="4">
        <v>212</v>
      </c>
      <c r="L233" s="4">
        <v>25</v>
      </c>
      <c r="M233" s="4">
        <v>0</v>
      </c>
      <c r="N233" s="4" t="s">
        <v>3</v>
      </c>
      <c r="O233" s="4">
        <v>2</v>
      </c>
      <c r="P233" s="4"/>
    </row>
    <row r="234" spans="1:16" ht="12.75">
      <c r="A234" s="4">
        <v>50</v>
      </c>
      <c r="B234" s="4">
        <v>1</v>
      </c>
      <c r="C234" s="4">
        <v>0</v>
      </c>
      <c r="D234" s="4">
        <v>2</v>
      </c>
      <c r="E234" s="4">
        <v>0</v>
      </c>
      <c r="F234" s="4">
        <f>0.08*8063</f>
        <v>645.04</v>
      </c>
      <c r="G234" s="4" t="s">
        <v>3</v>
      </c>
      <c r="H234" s="4" t="s">
        <v>288</v>
      </c>
      <c r="I234" s="4"/>
      <c r="J234" s="4"/>
      <c r="K234" s="4">
        <v>212</v>
      </c>
      <c r="L234" s="4">
        <v>26</v>
      </c>
      <c r="M234" s="4">
        <v>0</v>
      </c>
      <c r="N234" s="4" t="s">
        <v>3</v>
      </c>
      <c r="O234" s="4">
        <v>-1</v>
      </c>
      <c r="P234" s="4"/>
    </row>
    <row r="237" ht="12.75">
      <c r="A237">
        <v>-1</v>
      </c>
    </row>
    <row r="239" spans="1:15" ht="12.75">
      <c r="A239" s="3">
        <v>75</v>
      </c>
      <c r="B239" s="3" t="s">
        <v>289</v>
      </c>
      <c r="C239" s="3">
        <v>2017</v>
      </c>
      <c r="D239" s="3">
        <v>0</v>
      </c>
      <c r="E239" s="3">
        <v>1</v>
      </c>
      <c r="F239" s="3">
        <v>0</v>
      </c>
      <c r="G239" s="3">
        <v>0</v>
      </c>
      <c r="H239" s="3">
        <v>1</v>
      </c>
      <c r="I239" s="3">
        <v>0</v>
      </c>
      <c r="J239" s="3">
        <v>1</v>
      </c>
      <c r="K239" s="3">
        <v>78</v>
      </c>
      <c r="L239" s="3">
        <v>30</v>
      </c>
      <c r="M239" s="3">
        <v>0</v>
      </c>
      <c r="N239" s="3">
        <v>26615678</v>
      </c>
      <c r="O239" s="3">
        <v>1</v>
      </c>
    </row>
    <row r="243" spans="1:5" ht="12.75">
      <c r="A243">
        <v>65</v>
      </c>
      <c r="C243">
        <v>1</v>
      </c>
      <c r="D243">
        <v>0</v>
      </c>
      <c r="E243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290</v>
      </c>
      <c r="F1">
        <v>0</v>
      </c>
      <c r="G1">
        <v>0</v>
      </c>
      <c r="H1">
        <v>0</v>
      </c>
      <c r="I1" t="s">
        <v>2</v>
      </c>
      <c r="K1">
        <v>1</v>
      </c>
      <c r="L1">
        <v>47492</v>
      </c>
      <c r="M1">
        <v>10</v>
      </c>
    </row>
    <row r="12" spans="1:133" ht="12.75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26615678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5">
        <v>3</v>
      </c>
      <c r="B16" s="5">
        <v>1</v>
      </c>
      <c r="C16" s="5" t="s">
        <v>11</v>
      </c>
      <c r="D16" s="5" t="s">
        <v>11</v>
      </c>
      <c r="E16" s="6">
        <v>0</v>
      </c>
      <c r="F16" s="6">
        <v>0</v>
      </c>
      <c r="G16" s="6">
        <v>0</v>
      </c>
      <c r="H16" s="6">
        <v>848.72962</v>
      </c>
      <c r="I16" s="6">
        <v>848.72962</v>
      </c>
      <c r="J16" s="6">
        <v>152.38293</v>
      </c>
      <c r="AI16" s="5">
        <v>0</v>
      </c>
      <c r="AJ16" s="5">
        <v>0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723328.24</v>
      </c>
      <c r="AU16" s="6">
        <v>562313.1</v>
      </c>
      <c r="AV16" s="6">
        <v>0</v>
      </c>
      <c r="AW16" s="6">
        <v>0</v>
      </c>
      <c r="AX16" s="6">
        <v>0</v>
      </c>
      <c r="AY16" s="6">
        <v>8632.21</v>
      </c>
      <c r="AZ16" s="6">
        <v>3236.14</v>
      </c>
      <c r="BA16" s="6">
        <v>152382.93</v>
      </c>
      <c r="BB16" s="6">
        <v>0</v>
      </c>
      <c r="BC16" s="6">
        <v>0</v>
      </c>
      <c r="BD16" s="6">
        <v>848729.62</v>
      </c>
      <c r="BE16" s="6">
        <v>0</v>
      </c>
      <c r="BF16" s="6">
        <v>851.537426</v>
      </c>
      <c r="BG16" s="6">
        <v>0</v>
      </c>
      <c r="BH16" s="6">
        <v>0</v>
      </c>
      <c r="BI16" s="6">
        <v>106668.07</v>
      </c>
      <c r="BJ16" s="6">
        <v>15238.29</v>
      </c>
      <c r="BK16" s="6">
        <v>848729.62</v>
      </c>
    </row>
    <row r="18" spans="1:19" ht="12.75">
      <c r="A18">
        <v>51</v>
      </c>
      <c r="E18" s="7">
        <v>0</v>
      </c>
      <c r="F18" s="7">
        <v>0</v>
      </c>
      <c r="G18" s="7">
        <v>0</v>
      </c>
      <c r="H18" s="7">
        <v>848.72962</v>
      </c>
      <c r="I18" s="7">
        <v>848.72962</v>
      </c>
      <c r="J18" s="7">
        <v>152.38293</v>
      </c>
      <c r="K18" s="7"/>
      <c r="L18" s="7"/>
      <c r="M18" s="7"/>
      <c r="N18" s="7"/>
      <c r="O18" s="7"/>
      <c r="P18" s="7"/>
      <c r="Q18" s="7"/>
      <c r="R18" s="7"/>
      <c r="S18" s="7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723328.24</v>
      </c>
      <c r="G20" s="4" t="s">
        <v>209</v>
      </c>
      <c r="H20" s="4" t="s">
        <v>210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562313.1</v>
      </c>
      <c r="G21" s="4" t="s">
        <v>211</v>
      </c>
      <c r="H21" s="4" t="s">
        <v>212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213</v>
      </c>
      <c r="H22" s="4" t="s">
        <v>214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562313.1</v>
      </c>
      <c r="G23" s="4" t="s">
        <v>215</v>
      </c>
      <c r="H23" s="4" t="s">
        <v>216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562313.1</v>
      </c>
      <c r="G24" s="4" t="s">
        <v>217</v>
      </c>
      <c r="H24" s="4" t="s">
        <v>218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219</v>
      </c>
      <c r="H25" s="4" t="s">
        <v>220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562313.1</v>
      </c>
      <c r="G26" s="4" t="s">
        <v>221</v>
      </c>
      <c r="H26" s="4" t="s">
        <v>222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223</v>
      </c>
      <c r="H27" s="4" t="s">
        <v>224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225</v>
      </c>
      <c r="H28" s="4" t="s">
        <v>226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227</v>
      </c>
      <c r="H29" s="4" t="s">
        <v>228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8632.21</v>
      </c>
      <c r="G30" s="4" t="s">
        <v>229</v>
      </c>
      <c r="H30" s="4" t="s">
        <v>230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204</v>
      </c>
      <c r="F31" s="4">
        <v>3236.14</v>
      </c>
      <c r="G31" s="4" t="s">
        <v>231</v>
      </c>
      <c r="H31" s="4" t="s">
        <v>232</v>
      </c>
      <c r="I31" s="4"/>
      <c r="J31" s="4"/>
      <c r="K31" s="4">
        <v>204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205</v>
      </c>
      <c r="F32" s="4">
        <v>152382.93</v>
      </c>
      <c r="G32" s="4" t="s">
        <v>233</v>
      </c>
      <c r="H32" s="4" t="s">
        <v>234</v>
      </c>
      <c r="I32" s="4"/>
      <c r="J32" s="4"/>
      <c r="K32" s="4">
        <v>205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214</v>
      </c>
      <c r="F33" s="4">
        <v>0</v>
      </c>
      <c r="G33" s="4" t="s">
        <v>235</v>
      </c>
      <c r="H33" s="4" t="s">
        <v>236</v>
      </c>
      <c r="I33" s="4"/>
      <c r="J33" s="4"/>
      <c r="K33" s="4">
        <v>214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215</v>
      </c>
      <c r="F34" s="4">
        <v>0</v>
      </c>
      <c r="G34" s="4" t="s">
        <v>237</v>
      </c>
      <c r="H34" s="4" t="s">
        <v>238</v>
      </c>
      <c r="I34" s="4"/>
      <c r="J34" s="4"/>
      <c r="K34" s="4">
        <v>215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217</v>
      </c>
      <c r="F35" s="4">
        <v>848729.62</v>
      </c>
      <c r="G35" s="4" t="s">
        <v>239</v>
      </c>
      <c r="H35" s="4" t="s">
        <v>240</v>
      </c>
      <c r="I35" s="4"/>
      <c r="J35" s="4"/>
      <c r="K35" s="4">
        <v>217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206</v>
      </c>
      <c r="F36" s="4">
        <v>0</v>
      </c>
      <c r="G36" s="4" t="s">
        <v>241</v>
      </c>
      <c r="H36" s="4" t="s">
        <v>242</v>
      </c>
      <c r="I36" s="4"/>
      <c r="J36" s="4"/>
      <c r="K36" s="4">
        <v>206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207</v>
      </c>
      <c r="F37" s="4">
        <v>851.537426</v>
      </c>
      <c r="G37" s="4" t="s">
        <v>243</v>
      </c>
      <c r="H37" s="4" t="s">
        <v>244</v>
      </c>
      <c r="I37" s="4"/>
      <c r="J37" s="4"/>
      <c r="K37" s="4">
        <v>207</v>
      </c>
      <c r="L37" s="4">
        <v>18</v>
      </c>
      <c r="M37" s="4">
        <v>3</v>
      </c>
      <c r="N37" s="4" t="s">
        <v>3</v>
      </c>
      <c r="O37" s="4">
        <v>-1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208</v>
      </c>
      <c r="F38" s="4">
        <v>0</v>
      </c>
      <c r="G38" s="4" t="s">
        <v>245</v>
      </c>
      <c r="H38" s="4" t="s">
        <v>246</v>
      </c>
      <c r="I38" s="4"/>
      <c r="J38" s="4"/>
      <c r="K38" s="4">
        <v>208</v>
      </c>
      <c r="L38" s="4">
        <v>19</v>
      </c>
      <c r="M38" s="4">
        <v>3</v>
      </c>
      <c r="N38" s="4" t="s">
        <v>3</v>
      </c>
      <c r="O38" s="4">
        <v>-1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209</v>
      </c>
      <c r="F39" s="4">
        <v>0</v>
      </c>
      <c r="G39" s="4" t="s">
        <v>247</v>
      </c>
      <c r="H39" s="4" t="s">
        <v>248</v>
      </c>
      <c r="I39" s="4"/>
      <c r="J39" s="4"/>
      <c r="K39" s="4">
        <v>209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210</v>
      </c>
      <c r="F40" s="4">
        <v>106668.07</v>
      </c>
      <c r="G40" s="4" t="s">
        <v>249</v>
      </c>
      <c r="H40" s="4" t="s">
        <v>250</v>
      </c>
      <c r="I40" s="4"/>
      <c r="J40" s="4"/>
      <c r="K40" s="4">
        <v>210</v>
      </c>
      <c r="L40" s="4">
        <v>21</v>
      </c>
      <c r="M40" s="4">
        <v>3</v>
      </c>
      <c r="N40" s="4" t="s">
        <v>3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211</v>
      </c>
      <c r="F41" s="4">
        <v>15238.29</v>
      </c>
      <c r="G41" s="4" t="s">
        <v>251</v>
      </c>
      <c r="H41" s="4" t="s">
        <v>252</v>
      </c>
      <c r="I41" s="4"/>
      <c r="J41" s="4"/>
      <c r="K41" s="4">
        <v>211</v>
      </c>
      <c r="L41" s="4">
        <v>22</v>
      </c>
      <c r="M41" s="4">
        <v>3</v>
      </c>
      <c r="N41" s="4" t="s">
        <v>3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224</v>
      </c>
      <c r="F42" s="4">
        <v>848729.62</v>
      </c>
      <c r="G42" s="4" t="s">
        <v>253</v>
      </c>
      <c r="H42" s="4" t="s">
        <v>254</v>
      </c>
      <c r="I42" s="4"/>
      <c r="J42" s="4"/>
      <c r="K42" s="4">
        <v>224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2</v>
      </c>
      <c r="E43" s="4">
        <v>0</v>
      </c>
      <c r="F43" s="4">
        <v>152771.33</v>
      </c>
      <c r="G43" s="4" t="s">
        <v>284</v>
      </c>
      <c r="H43" s="4" t="s">
        <v>285</v>
      </c>
      <c r="I43" s="4"/>
      <c r="J43" s="4"/>
      <c r="K43" s="4">
        <v>212</v>
      </c>
      <c r="L43" s="4">
        <v>24</v>
      </c>
      <c r="M43" s="4">
        <v>0</v>
      </c>
      <c r="N43" s="4" t="s">
        <v>3</v>
      </c>
      <c r="O43" s="4">
        <v>2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1001500.95</v>
      </c>
      <c r="G44" s="4" t="s">
        <v>286</v>
      </c>
      <c r="H44" s="4" t="s">
        <v>287</v>
      </c>
      <c r="I44" s="4"/>
      <c r="J44" s="4"/>
      <c r="K44" s="4">
        <v>212</v>
      </c>
      <c r="L44" s="4">
        <v>25</v>
      </c>
      <c r="M44" s="4">
        <v>0</v>
      </c>
      <c r="N44" s="4" t="s">
        <v>3</v>
      </c>
      <c r="O44" s="4">
        <v>2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0</v>
      </c>
      <c r="F45" s="4">
        <v>645.04</v>
      </c>
      <c r="G45" s="4" t="s">
        <v>3</v>
      </c>
      <c r="H45" s="4" t="s">
        <v>288</v>
      </c>
      <c r="I45" s="4"/>
      <c r="J45" s="4"/>
      <c r="K45" s="4">
        <v>212</v>
      </c>
      <c r="L45" s="4">
        <v>26</v>
      </c>
      <c r="M45" s="4">
        <v>0</v>
      </c>
      <c r="N45" s="4" t="s">
        <v>3</v>
      </c>
      <c r="O45" s="4">
        <v>-1</v>
      </c>
      <c r="P45" s="4"/>
    </row>
    <row r="47" ht="12.75">
      <c r="A47">
        <v>-1</v>
      </c>
    </row>
    <row r="50" spans="1:15" ht="12.75">
      <c r="A50" s="3">
        <v>75</v>
      </c>
      <c r="B50" s="3" t="s">
        <v>289</v>
      </c>
      <c r="C50" s="3">
        <v>2017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78</v>
      </c>
      <c r="L50" s="3">
        <v>30</v>
      </c>
      <c r="M50" s="3">
        <v>0</v>
      </c>
      <c r="N50" s="3">
        <v>26615678</v>
      </c>
      <c r="O50" s="3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B16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ROW(Source!A28)</f>
        <v>28</v>
      </c>
      <c r="B1">
        <v>26615678</v>
      </c>
      <c r="C1">
        <v>26616368</v>
      </c>
      <c r="D1">
        <v>25674184</v>
      </c>
      <c r="E1">
        <v>25674181</v>
      </c>
      <c r="F1">
        <v>1</v>
      </c>
      <c r="G1">
        <v>25674181</v>
      </c>
      <c r="H1">
        <v>1</v>
      </c>
      <c r="I1" t="s">
        <v>291</v>
      </c>
      <c r="K1" t="s">
        <v>292</v>
      </c>
      <c r="L1">
        <v>1191</v>
      </c>
      <c r="N1">
        <v>1013</v>
      </c>
      <c r="O1" t="s">
        <v>293</v>
      </c>
      <c r="P1" t="s">
        <v>293</v>
      </c>
      <c r="Q1">
        <v>1</v>
      </c>
      <c r="W1">
        <v>0</v>
      </c>
      <c r="X1">
        <v>476480486</v>
      </c>
      <c r="Y1">
        <v>6.28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6.28</v>
      </c>
      <c r="AV1">
        <v>1</v>
      </c>
      <c r="AW1">
        <v>2</v>
      </c>
      <c r="AX1">
        <v>26616369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12.56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ht="12.75">
      <c r="A2">
        <f>ROW(Source!A28)</f>
        <v>28</v>
      </c>
      <c r="B2">
        <v>26615678</v>
      </c>
      <c r="C2">
        <v>26616368</v>
      </c>
      <c r="D2">
        <v>25675209</v>
      </c>
      <c r="E2">
        <v>25674181</v>
      </c>
      <c r="F2">
        <v>1</v>
      </c>
      <c r="G2">
        <v>25674181</v>
      </c>
      <c r="H2">
        <v>3</v>
      </c>
      <c r="I2" t="s">
        <v>294</v>
      </c>
      <c r="K2" t="s">
        <v>295</v>
      </c>
      <c r="L2">
        <v>1301</v>
      </c>
      <c r="N2">
        <v>1013</v>
      </c>
      <c r="O2" t="s">
        <v>296</v>
      </c>
      <c r="P2" t="s">
        <v>296</v>
      </c>
      <c r="Q2">
        <v>1</v>
      </c>
      <c r="W2">
        <v>0</v>
      </c>
      <c r="X2">
        <v>878644720</v>
      </c>
      <c r="Y2">
        <v>9.3</v>
      </c>
      <c r="AA2">
        <v>6.79</v>
      </c>
      <c r="AB2">
        <v>0</v>
      </c>
      <c r="AC2">
        <v>0</v>
      </c>
      <c r="AD2">
        <v>0</v>
      </c>
      <c r="AE2">
        <v>6.785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9.3</v>
      </c>
      <c r="AV2">
        <v>0</v>
      </c>
      <c r="AW2">
        <v>2</v>
      </c>
      <c r="AX2">
        <v>26616370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18.6</v>
      </c>
      <c r="CY2">
        <f>AA2</f>
        <v>6.79</v>
      </c>
      <c r="CZ2">
        <f>AE2</f>
        <v>6.785</v>
      </c>
      <c r="DA2">
        <f>AI2</f>
        <v>1</v>
      </c>
      <c r="DB2">
        <v>0</v>
      </c>
    </row>
    <row r="3" spans="1:106" ht="12.75">
      <c r="A3">
        <f>ROW(Source!A28)</f>
        <v>28</v>
      </c>
      <c r="B3">
        <v>26615678</v>
      </c>
      <c r="C3">
        <v>26616368</v>
      </c>
      <c r="D3">
        <v>0</v>
      </c>
      <c r="E3">
        <v>0</v>
      </c>
      <c r="F3">
        <v>1</v>
      </c>
      <c r="G3">
        <v>25674181</v>
      </c>
      <c r="H3">
        <v>3</v>
      </c>
      <c r="I3" t="s">
        <v>23</v>
      </c>
      <c r="K3" t="s">
        <v>24</v>
      </c>
      <c r="L3">
        <v>1371</v>
      </c>
      <c r="N3">
        <v>1013</v>
      </c>
      <c r="O3" t="s">
        <v>25</v>
      </c>
      <c r="P3" t="s">
        <v>25</v>
      </c>
      <c r="Q3">
        <v>1</v>
      </c>
      <c r="W3">
        <v>0</v>
      </c>
      <c r="X3">
        <v>-1860548929</v>
      </c>
      <c r="Y3">
        <v>1</v>
      </c>
      <c r="AA3">
        <v>6771.19</v>
      </c>
      <c r="AB3">
        <v>0</v>
      </c>
      <c r="AC3">
        <v>0</v>
      </c>
      <c r="AD3">
        <v>0</v>
      </c>
      <c r="AE3">
        <v>6771.19</v>
      </c>
      <c r="AF3">
        <v>0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0</v>
      </c>
      <c r="AQ3">
        <v>0</v>
      </c>
      <c r="AR3">
        <v>0</v>
      </c>
      <c r="AT3">
        <v>1</v>
      </c>
      <c r="AV3">
        <v>0</v>
      </c>
      <c r="AW3">
        <v>1</v>
      </c>
      <c r="AX3">
        <v>-1</v>
      </c>
      <c r="AY3">
        <v>0</v>
      </c>
      <c r="AZ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2</v>
      </c>
      <c r="CY3">
        <f>AA3</f>
        <v>6771.19</v>
      </c>
      <c r="CZ3">
        <f>AE3</f>
        <v>6771.19</v>
      </c>
      <c r="DA3">
        <f>AI3</f>
        <v>1</v>
      </c>
      <c r="DB3">
        <v>0</v>
      </c>
    </row>
    <row r="4" spans="1:106" ht="12.75">
      <c r="A4">
        <f>ROW(Source!A30)</f>
        <v>30</v>
      </c>
      <c r="B4">
        <v>26615678</v>
      </c>
      <c r="C4">
        <v>26615879</v>
      </c>
      <c r="D4">
        <v>25674184</v>
      </c>
      <c r="E4">
        <v>25674181</v>
      </c>
      <c r="F4">
        <v>1</v>
      </c>
      <c r="G4">
        <v>25674181</v>
      </c>
      <c r="H4">
        <v>1</v>
      </c>
      <c r="I4" t="s">
        <v>291</v>
      </c>
      <c r="K4" t="s">
        <v>292</v>
      </c>
      <c r="L4">
        <v>1191</v>
      </c>
      <c r="N4">
        <v>1013</v>
      </c>
      <c r="O4" t="s">
        <v>293</v>
      </c>
      <c r="P4" t="s">
        <v>293</v>
      </c>
      <c r="Q4">
        <v>1</v>
      </c>
      <c r="W4">
        <v>0</v>
      </c>
      <c r="X4">
        <v>476480486</v>
      </c>
      <c r="Y4">
        <v>1.23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1.23</v>
      </c>
      <c r="AV4">
        <v>1</v>
      </c>
      <c r="AW4">
        <v>2</v>
      </c>
      <c r="AX4">
        <v>26616377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Y4*Source!I30</f>
        <v>250.92</v>
      </c>
      <c r="CY4">
        <f>AD4</f>
        <v>0</v>
      </c>
      <c r="CZ4">
        <f>AH4</f>
        <v>0</v>
      </c>
      <c r="DA4">
        <f>AL4</f>
        <v>1</v>
      </c>
      <c r="DB4">
        <v>0</v>
      </c>
    </row>
    <row r="5" spans="1:106" ht="12.75">
      <c r="A5">
        <f>ROW(Source!A30)</f>
        <v>30</v>
      </c>
      <c r="B5">
        <v>26615678</v>
      </c>
      <c r="C5">
        <v>26615879</v>
      </c>
      <c r="D5">
        <v>25685390</v>
      </c>
      <c r="E5">
        <v>1</v>
      </c>
      <c r="F5">
        <v>1</v>
      </c>
      <c r="G5">
        <v>25674181</v>
      </c>
      <c r="H5">
        <v>2</v>
      </c>
      <c r="I5" t="s">
        <v>297</v>
      </c>
      <c r="J5" t="s">
        <v>298</v>
      </c>
      <c r="K5" t="s">
        <v>299</v>
      </c>
      <c r="L5">
        <v>1368</v>
      </c>
      <c r="N5">
        <v>1011</v>
      </c>
      <c r="O5" t="s">
        <v>300</v>
      </c>
      <c r="P5" t="s">
        <v>300</v>
      </c>
      <c r="Q5">
        <v>1</v>
      </c>
      <c r="W5">
        <v>0</v>
      </c>
      <c r="X5">
        <v>144256025</v>
      </c>
      <c r="Y5">
        <v>0.12</v>
      </c>
      <c r="AA5">
        <v>0</v>
      </c>
      <c r="AB5">
        <v>32.82</v>
      </c>
      <c r="AC5">
        <v>6.85</v>
      </c>
      <c r="AD5">
        <v>0</v>
      </c>
      <c r="AE5">
        <v>0</v>
      </c>
      <c r="AF5">
        <v>32.82</v>
      </c>
      <c r="AG5">
        <v>6.85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0.12</v>
      </c>
      <c r="AV5">
        <v>0</v>
      </c>
      <c r="AW5">
        <v>2</v>
      </c>
      <c r="AX5">
        <v>26616378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24.48</v>
      </c>
      <c r="CY5">
        <f>AB5</f>
        <v>32.82</v>
      </c>
      <c r="CZ5">
        <f>AF5</f>
        <v>32.82</v>
      </c>
      <c r="DA5">
        <f>AJ5</f>
        <v>1</v>
      </c>
      <c r="DB5">
        <v>0</v>
      </c>
    </row>
    <row r="6" spans="1:106" ht="12.75">
      <c r="A6">
        <f>ROW(Source!A30)</f>
        <v>30</v>
      </c>
      <c r="B6">
        <v>26615678</v>
      </c>
      <c r="C6">
        <v>26615879</v>
      </c>
      <c r="D6">
        <v>25685102</v>
      </c>
      <c r="E6">
        <v>1</v>
      </c>
      <c r="F6">
        <v>1</v>
      </c>
      <c r="G6">
        <v>25674181</v>
      </c>
      <c r="H6">
        <v>2</v>
      </c>
      <c r="I6" t="s">
        <v>301</v>
      </c>
      <c r="J6" t="s">
        <v>302</v>
      </c>
      <c r="K6" t="s">
        <v>303</v>
      </c>
      <c r="L6">
        <v>1368</v>
      </c>
      <c r="N6">
        <v>1011</v>
      </c>
      <c r="O6" t="s">
        <v>300</v>
      </c>
      <c r="P6" t="s">
        <v>300</v>
      </c>
      <c r="Q6">
        <v>1</v>
      </c>
      <c r="W6">
        <v>0</v>
      </c>
      <c r="X6">
        <v>1830593596</v>
      </c>
      <c r="Y6">
        <v>0.34</v>
      </c>
      <c r="AA6">
        <v>0</v>
      </c>
      <c r="AB6">
        <v>6.05</v>
      </c>
      <c r="AC6">
        <v>0.71</v>
      </c>
      <c r="AD6">
        <v>0</v>
      </c>
      <c r="AE6">
        <v>0</v>
      </c>
      <c r="AF6">
        <v>6.05</v>
      </c>
      <c r="AG6">
        <v>0.71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0.34</v>
      </c>
      <c r="AV6">
        <v>0</v>
      </c>
      <c r="AW6">
        <v>2</v>
      </c>
      <c r="AX6">
        <v>26616379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69.36</v>
      </c>
      <c r="CY6">
        <f>AB6</f>
        <v>6.05</v>
      </c>
      <c r="CZ6">
        <f>AF6</f>
        <v>6.05</v>
      </c>
      <c r="DA6">
        <f>AJ6</f>
        <v>1</v>
      </c>
      <c r="DB6">
        <v>0</v>
      </c>
    </row>
    <row r="7" spans="1:106" ht="12.75">
      <c r="A7">
        <f>ROW(Source!A30)</f>
        <v>30</v>
      </c>
      <c r="B7">
        <v>26615678</v>
      </c>
      <c r="C7">
        <v>26615879</v>
      </c>
      <c r="D7">
        <v>25687630</v>
      </c>
      <c r="E7">
        <v>1</v>
      </c>
      <c r="F7">
        <v>1</v>
      </c>
      <c r="G7">
        <v>25674181</v>
      </c>
      <c r="H7">
        <v>3</v>
      </c>
      <c r="I7" t="s">
        <v>304</v>
      </c>
      <c r="J7" t="s">
        <v>305</v>
      </c>
      <c r="K7" t="s">
        <v>306</v>
      </c>
      <c r="L7">
        <v>1348</v>
      </c>
      <c r="N7">
        <v>1013</v>
      </c>
      <c r="O7" t="s">
        <v>67</v>
      </c>
      <c r="P7" t="s">
        <v>67</v>
      </c>
      <c r="Q7">
        <v>1</v>
      </c>
      <c r="W7">
        <v>0</v>
      </c>
      <c r="X7">
        <v>-1544492133</v>
      </c>
      <c r="Y7">
        <v>0.00011</v>
      </c>
      <c r="AA7">
        <v>109898.69</v>
      </c>
      <c r="AB7">
        <v>0</v>
      </c>
      <c r="AC7">
        <v>0</v>
      </c>
      <c r="AD7">
        <v>0</v>
      </c>
      <c r="AE7">
        <v>109898.69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0.00011</v>
      </c>
      <c r="AV7">
        <v>0</v>
      </c>
      <c r="AW7">
        <v>2</v>
      </c>
      <c r="AX7">
        <v>26616380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0.02244</v>
      </c>
      <c r="CY7">
        <f aca="true" t="shared" si="0" ref="CY7:CY15">AA7</f>
        <v>109898.69</v>
      </c>
      <c r="CZ7">
        <f aca="true" t="shared" si="1" ref="CZ7:CZ15">AE7</f>
        <v>109898.69</v>
      </c>
      <c r="DA7">
        <f aca="true" t="shared" si="2" ref="DA7:DA15">AI7</f>
        <v>1</v>
      </c>
      <c r="DB7">
        <v>0</v>
      </c>
    </row>
    <row r="8" spans="1:106" ht="12.75">
      <c r="A8">
        <f>ROW(Source!A30)</f>
        <v>30</v>
      </c>
      <c r="B8">
        <v>26615678</v>
      </c>
      <c r="C8">
        <v>26615879</v>
      </c>
      <c r="D8">
        <v>25693074</v>
      </c>
      <c r="E8">
        <v>1</v>
      </c>
      <c r="F8">
        <v>1</v>
      </c>
      <c r="G8">
        <v>25674181</v>
      </c>
      <c r="H8">
        <v>3</v>
      </c>
      <c r="I8" t="s">
        <v>32</v>
      </c>
      <c r="J8" t="s">
        <v>34</v>
      </c>
      <c r="K8" t="s">
        <v>33</v>
      </c>
      <c r="L8">
        <v>1354</v>
      </c>
      <c r="N8">
        <v>1013</v>
      </c>
      <c r="O8" t="s">
        <v>17</v>
      </c>
      <c r="P8" t="s">
        <v>17</v>
      </c>
      <c r="Q8">
        <v>1</v>
      </c>
      <c r="W8">
        <v>0</v>
      </c>
      <c r="X8">
        <v>-2070765893</v>
      </c>
      <c r="Y8">
        <v>0.294118</v>
      </c>
      <c r="AA8">
        <v>927.5</v>
      </c>
      <c r="AB8">
        <v>0</v>
      </c>
      <c r="AC8">
        <v>0</v>
      </c>
      <c r="AD8">
        <v>0</v>
      </c>
      <c r="AE8">
        <v>927.5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T8">
        <v>0.294118</v>
      </c>
      <c r="AV8">
        <v>0</v>
      </c>
      <c r="AW8">
        <v>1</v>
      </c>
      <c r="AX8">
        <v>-1</v>
      </c>
      <c r="AY8">
        <v>0</v>
      </c>
      <c r="AZ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60.000071999999996</v>
      </c>
      <c r="CY8">
        <f t="shared" si="0"/>
        <v>927.5</v>
      </c>
      <c r="CZ8">
        <f t="shared" si="1"/>
        <v>927.5</v>
      </c>
      <c r="DA8">
        <f t="shared" si="2"/>
        <v>1</v>
      </c>
      <c r="DB8">
        <v>0</v>
      </c>
    </row>
    <row r="9" spans="1:106" ht="12.75">
      <c r="A9">
        <f>ROW(Source!A30)</f>
        <v>30</v>
      </c>
      <c r="B9">
        <v>26615678</v>
      </c>
      <c r="C9">
        <v>26615879</v>
      </c>
      <c r="D9">
        <v>25693078</v>
      </c>
      <c r="E9">
        <v>1</v>
      </c>
      <c r="F9">
        <v>1</v>
      </c>
      <c r="G9">
        <v>25674181</v>
      </c>
      <c r="H9">
        <v>3</v>
      </c>
      <c r="I9" t="s">
        <v>36</v>
      </c>
      <c r="J9" t="s">
        <v>38</v>
      </c>
      <c r="K9" t="s">
        <v>37</v>
      </c>
      <c r="L9">
        <v>1354</v>
      </c>
      <c r="N9">
        <v>1013</v>
      </c>
      <c r="O9" t="s">
        <v>17</v>
      </c>
      <c r="P9" t="s">
        <v>17</v>
      </c>
      <c r="Q9">
        <v>1</v>
      </c>
      <c r="W9">
        <v>0</v>
      </c>
      <c r="X9">
        <v>331926184</v>
      </c>
      <c r="Y9">
        <v>0.637255</v>
      </c>
      <c r="AA9">
        <v>559.21</v>
      </c>
      <c r="AB9">
        <v>0</v>
      </c>
      <c r="AC9">
        <v>0</v>
      </c>
      <c r="AD9">
        <v>0</v>
      </c>
      <c r="AE9">
        <v>559.21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T9">
        <v>0.637255</v>
      </c>
      <c r="AV9">
        <v>0</v>
      </c>
      <c r="AW9">
        <v>1</v>
      </c>
      <c r="AX9">
        <v>-1</v>
      </c>
      <c r="AY9">
        <v>0</v>
      </c>
      <c r="AZ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130.00002</v>
      </c>
      <c r="CY9">
        <f t="shared" si="0"/>
        <v>559.21</v>
      </c>
      <c r="CZ9">
        <f t="shared" si="1"/>
        <v>559.21</v>
      </c>
      <c r="DA9">
        <f t="shared" si="2"/>
        <v>1</v>
      </c>
      <c r="DB9">
        <v>0</v>
      </c>
    </row>
    <row r="10" spans="1:106" ht="12.75">
      <c r="A10">
        <f>ROW(Source!A30)</f>
        <v>30</v>
      </c>
      <c r="B10">
        <v>26615678</v>
      </c>
      <c r="C10">
        <v>26615879</v>
      </c>
      <c r="D10">
        <v>25693085</v>
      </c>
      <c r="E10">
        <v>1</v>
      </c>
      <c r="F10">
        <v>1</v>
      </c>
      <c r="G10">
        <v>25674181</v>
      </c>
      <c r="H10">
        <v>3</v>
      </c>
      <c r="I10" t="s">
        <v>44</v>
      </c>
      <c r="J10" t="s">
        <v>46</v>
      </c>
      <c r="K10" t="s">
        <v>45</v>
      </c>
      <c r="L10">
        <v>1354</v>
      </c>
      <c r="N10">
        <v>1013</v>
      </c>
      <c r="O10" t="s">
        <v>17</v>
      </c>
      <c r="P10" t="s">
        <v>17</v>
      </c>
      <c r="Q10">
        <v>1</v>
      </c>
      <c r="W10">
        <v>0</v>
      </c>
      <c r="X10">
        <v>-1479987233</v>
      </c>
      <c r="Y10">
        <v>0.004902</v>
      </c>
      <c r="AA10">
        <v>328.69</v>
      </c>
      <c r="AB10">
        <v>0</v>
      </c>
      <c r="AC10">
        <v>0</v>
      </c>
      <c r="AD10">
        <v>0</v>
      </c>
      <c r="AE10">
        <v>328.69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0.004902</v>
      </c>
      <c r="AV10">
        <v>0</v>
      </c>
      <c r="AW10">
        <v>1</v>
      </c>
      <c r="AX10">
        <v>-1</v>
      </c>
      <c r="AY10">
        <v>0</v>
      </c>
      <c r="AZ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1.000008</v>
      </c>
      <c r="CY10">
        <f t="shared" si="0"/>
        <v>328.69</v>
      </c>
      <c r="CZ10">
        <f t="shared" si="1"/>
        <v>328.69</v>
      </c>
      <c r="DA10">
        <f t="shared" si="2"/>
        <v>1</v>
      </c>
      <c r="DB10">
        <v>0</v>
      </c>
    </row>
    <row r="11" spans="1:106" ht="12.75">
      <c r="A11">
        <f>ROW(Source!A30)</f>
        <v>30</v>
      </c>
      <c r="B11">
        <v>26615678</v>
      </c>
      <c r="C11">
        <v>26615879</v>
      </c>
      <c r="D11">
        <v>25693121</v>
      </c>
      <c r="E11">
        <v>1</v>
      </c>
      <c r="F11">
        <v>1</v>
      </c>
      <c r="G11">
        <v>25674181</v>
      </c>
      <c r="H11">
        <v>3</v>
      </c>
      <c r="I11" t="s">
        <v>52</v>
      </c>
      <c r="J11" t="s">
        <v>54</v>
      </c>
      <c r="K11" t="s">
        <v>53</v>
      </c>
      <c r="L11">
        <v>1354</v>
      </c>
      <c r="N11">
        <v>1013</v>
      </c>
      <c r="O11" t="s">
        <v>17</v>
      </c>
      <c r="P11" t="s">
        <v>17</v>
      </c>
      <c r="Q11">
        <v>1</v>
      </c>
      <c r="W11">
        <v>0</v>
      </c>
      <c r="X11">
        <v>1261032845</v>
      </c>
      <c r="Y11">
        <v>0.004902</v>
      </c>
      <c r="AA11">
        <v>425.16</v>
      </c>
      <c r="AB11">
        <v>0</v>
      </c>
      <c r="AC11">
        <v>0</v>
      </c>
      <c r="AD11">
        <v>0</v>
      </c>
      <c r="AE11">
        <v>425.16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T11">
        <v>0.004902</v>
      </c>
      <c r="AV11">
        <v>0</v>
      </c>
      <c r="AW11">
        <v>1</v>
      </c>
      <c r="AX11">
        <v>-1</v>
      </c>
      <c r="AY11">
        <v>0</v>
      </c>
      <c r="AZ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1.000008</v>
      </c>
      <c r="CY11">
        <f t="shared" si="0"/>
        <v>425.16</v>
      </c>
      <c r="CZ11">
        <f t="shared" si="1"/>
        <v>425.16</v>
      </c>
      <c r="DA11">
        <f t="shared" si="2"/>
        <v>1</v>
      </c>
      <c r="DB11">
        <v>0</v>
      </c>
    </row>
    <row r="12" spans="1:106" ht="12.75">
      <c r="A12">
        <f>ROW(Source!A30)</f>
        <v>30</v>
      </c>
      <c r="B12">
        <v>26615678</v>
      </c>
      <c r="C12">
        <v>26615879</v>
      </c>
      <c r="D12">
        <v>25693084</v>
      </c>
      <c r="E12">
        <v>1</v>
      </c>
      <c r="F12">
        <v>1</v>
      </c>
      <c r="G12">
        <v>25674181</v>
      </c>
      <c r="H12">
        <v>3</v>
      </c>
      <c r="I12" t="s">
        <v>40</v>
      </c>
      <c r="J12" t="s">
        <v>42</v>
      </c>
      <c r="K12" t="s">
        <v>41</v>
      </c>
      <c r="L12">
        <v>1354</v>
      </c>
      <c r="N12">
        <v>1013</v>
      </c>
      <c r="O12" t="s">
        <v>17</v>
      </c>
      <c r="P12" t="s">
        <v>17</v>
      </c>
      <c r="Q12">
        <v>1</v>
      </c>
      <c r="W12">
        <v>0</v>
      </c>
      <c r="X12">
        <v>1042904183</v>
      </c>
      <c r="Y12">
        <v>0.019608</v>
      </c>
      <c r="AA12">
        <v>443.31</v>
      </c>
      <c r="AB12">
        <v>0</v>
      </c>
      <c r="AC12">
        <v>0</v>
      </c>
      <c r="AD12">
        <v>0</v>
      </c>
      <c r="AE12">
        <v>443.31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0.019608</v>
      </c>
      <c r="AV12">
        <v>0</v>
      </c>
      <c r="AW12">
        <v>1</v>
      </c>
      <c r="AX12">
        <v>-1</v>
      </c>
      <c r="AY12">
        <v>0</v>
      </c>
      <c r="AZ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Y12*Source!I30</f>
        <v>4.000032</v>
      </c>
      <c r="CY12">
        <f t="shared" si="0"/>
        <v>443.31</v>
      </c>
      <c r="CZ12">
        <f t="shared" si="1"/>
        <v>443.31</v>
      </c>
      <c r="DA12">
        <f t="shared" si="2"/>
        <v>1</v>
      </c>
      <c r="DB12">
        <v>0</v>
      </c>
    </row>
    <row r="13" spans="1:106" ht="12.75">
      <c r="A13">
        <f>ROW(Source!A30)</f>
        <v>30</v>
      </c>
      <c r="B13">
        <v>26615678</v>
      </c>
      <c r="C13">
        <v>26615879</v>
      </c>
      <c r="D13">
        <v>25693090</v>
      </c>
      <c r="E13">
        <v>1</v>
      </c>
      <c r="F13">
        <v>1</v>
      </c>
      <c r="G13">
        <v>25674181</v>
      </c>
      <c r="H13">
        <v>3</v>
      </c>
      <c r="I13" t="s">
        <v>48</v>
      </c>
      <c r="J13" t="s">
        <v>50</v>
      </c>
      <c r="K13" t="s">
        <v>49</v>
      </c>
      <c r="L13">
        <v>1354</v>
      </c>
      <c r="N13">
        <v>1013</v>
      </c>
      <c r="O13" t="s">
        <v>17</v>
      </c>
      <c r="P13" t="s">
        <v>17</v>
      </c>
      <c r="Q13">
        <v>1</v>
      </c>
      <c r="W13">
        <v>0</v>
      </c>
      <c r="X13">
        <v>-1882413973</v>
      </c>
      <c r="Y13">
        <v>0.039216</v>
      </c>
      <c r="AA13">
        <v>658.5</v>
      </c>
      <c r="AB13">
        <v>0</v>
      </c>
      <c r="AC13">
        <v>0</v>
      </c>
      <c r="AD13">
        <v>0</v>
      </c>
      <c r="AE13">
        <v>658.5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0.039216</v>
      </c>
      <c r="AV13">
        <v>0</v>
      </c>
      <c r="AW13">
        <v>1</v>
      </c>
      <c r="AX13">
        <v>-1</v>
      </c>
      <c r="AY13">
        <v>0</v>
      </c>
      <c r="AZ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8.000064</v>
      </c>
      <c r="CY13">
        <f t="shared" si="0"/>
        <v>658.5</v>
      </c>
      <c r="CZ13">
        <f t="shared" si="1"/>
        <v>658.5</v>
      </c>
      <c r="DA13">
        <f t="shared" si="2"/>
        <v>1</v>
      </c>
      <c r="DB13">
        <v>0</v>
      </c>
    </row>
    <row r="14" spans="1:106" ht="12.75">
      <c r="A14">
        <f>ROW(Source!A30)</f>
        <v>30</v>
      </c>
      <c r="B14">
        <v>26615678</v>
      </c>
      <c r="C14">
        <v>26615879</v>
      </c>
      <c r="D14">
        <v>25688502</v>
      </c>
      <c r="E14">
        <v>1</v>
      </c>
      <c r="F14">
        <v>1</v>
      </c>
      <c r="G14">
        <v>25674181</v>
      </c>
      <c r="H14">
        <v>3</v>
      </c>
      <c r="I14" t="s">
        <v>307</v>
      </c>
      <c r="J14" t="s">
        <v>308</v>
      </c>
      <c r="K14" t="s">
        <v>309</v>
      </c>
      <c r="L14">
        <v>1339</v>
      </c>
      <c r="N14">
        <v>1007</v>
      </c>
      <c r="O14" t="s">
        <v>310</v>
      </c>
      <c r="P14" t="s">
        <v>310</v>
      </c>
      <c r="Q14">
        <v>1</v>
      </c>
      <c r="W14">
        <v>0</v>
      </c>
      <c r="X14">
        <v>184829274</v>
      </c>
      <c r="Y14">
        <v>0.0003</v>
      </c>
      <c r="AA14">
        <v>2834.05</v>
      </c>
      <c r="AB14">
        <v>0</v>
      </c>
      <c r="AC14">
        <v>0</v>
      </c>
      <c r="AD14">
        <v>0</v>
      </c>
      <c r="AE14">
        <v>2834.05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0.0003</v>
      </c>
      <c r="AV14">
        <v>0</v>
      </c>
      <c r="AW14">
        <v>2</v>
      </c>
      <c r="AX14">
        <v>26616381</v>
      </c>
      <c r="AY14">
        <v>1</v>
      </c>
      <c r="AZ14">
        <v>0</v>
      </c>
      <c r="BA14">
        <v>8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0.0612</v>
      </c>
      <c r="CY14">
        <f t="shared" si="0"/>
        <v>2834.05</v>
      </c>
      <c r="CZ14">
        <f t="shared" si="1"/>
        <v>2834.05</v>
      </c>
      <c r="DA14">
        <f t="shared" si="2"/>
        <v>1</v>
      </c>
      <c r="DB14">
        <v>0</v>
      </c>
    </row>
    <row r="15" spans="1:106" ht="12.75">
      <c r="A15">
        <f>ROW(Source!A30)</f>
        <v>30</v>
      </c>
      <c r="B15">
        <v>26615678</v>
      </c>
      <c r="C15">
        <v>26615879</v>
      </c>
      <c r="D15">
        <v>25688810</v>
      </c>
      <c r="E15">
        <v>1</v>
      </c>
      <c r="F15">
        <v>1</v>
      </c>
      <c r="G15">
        <v>25674181</v>
      </c>
      <c r="H15">
        <v>3</v>
      </c>
      <c r="I15" t="s">
        <v>311</v>
      </c>
      <c r="J15" t="s">
        <v>312</v>
      </c>
      <c r="K15" t="s">
        <v>313</v>
      </c>
      <c r="L15">
        <v>1348</v>
      </c>
      <c r="N15">
        <v>1013</v>
      </c>
      <c r="O15" t="s">
        <v>67</v>
      </c>
      <c r="P15" t="s">
        <v>67</v>
      </c>
      <c r="Q15">
        <v>1</v>
      </c>
      <c r="W15">
        <v>0</v>
      </c>
      <c r="X15">
        <v>939222716</v>
      </c>
      <c r="Y15">
        <v>0.00043</v>
      </c>
      <c r="AA15">
        <v>29334.55</v>
      </c>
      <c r="AB15">
        <v>0</v>
      </c>
      <c r="AC15">
        <v>0</v>
      </c>
      <c r="AD15">
        <v>0</v>
      </c>
      <c r="AE15">
        <v>29334.55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0.00043</v>
      </c>
      <c r="AV15">
        <v>0</v>
      </c>
      <c r="AW15">
        <v>2</v>
      </c>
      <c r="AX15">
        <v>26616382</v>
      </c>
      <c r="AY15">
        <v>1</v>
      </c>
      <c r="AZ15">
        <v>0</v>
      </c>
      <c r="BA15">
        <v>9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0.08771999999999999</v>
      </c>
      <c r="CY15">
        <f t="shared" si="0"/>
        <v>29334.55</v>
      </c>
      <c r="CZ15">
        <f t="shared" si="1"/>
        <v>29334.55</v>
      </c>
      <c r="DA15">
        <f t="shared" si="2"/>
        <v>1</v>
      </c>
      <c r="DB15">
        <v>0</v>
      </c>
    </row>
    <row r="16" spans="1:106" ht="12.75">
      <c r="A16">
        <f>ROW(Source!A37)</f>
        <v>37</v>
      </c>
      <c r="B16">
        <v>26615678</v>
      </c>
      <c r="C16">
        <v>26615895</v>
      </c>
      <c r="D16">
        <v>25674184</v>
      </c>
      <c r="E16">
        <v>25674181</v>
      </c>
      <c r="F16">
        <v>1</v>
      </c>
      <c r="G16">
        <v>25674181</v>
      </c>
      <c r="H16">
        <v>1</v>
      </c>
      <c r="I16" t="s">
        <v>291</v>
      </c>
      <c r="K16" t="s">
        <v>292</v>
      </c>
      <c r="L16">
        <v>1191</v>
      </c>
      <c r="N16">
        <v>1013</v>
      </c>
      <c r="O16" t="s">
        <v>293</v>
      </c>
      <c r="P16" t="s">
        <v>293</v>
      </c>
      <c r="Q16">
        <v>1</v>
      </c>
      <c r="W16">
        <v>0</v>
      </c>
      <c r="X16">
        <v>476480486</v>
      </c>
      <c r="Y16">
        <v>14.95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14.95</v>
      </c>
      <c r="AV16">
        <v>1</v>
      </c>
      <c r="AW16">
        <v>2</v>
      </c>
      <c r="AX16">
        <v>26615906</v>
      </c>
      <c r="AY16">
        <v>1</v>
      </c>
      <c r="AZ16">
        <v>0</v>
      </c>
      <c r="BA16">
        <v>11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Y16*Source!I37</f>
        <v>14.95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ht="12.75">
      <c r="A17">
        <f>ROW(Source!A37)</f>
        <v>37</v>
      </c>
      <c r="B17">
        <v>26615678</v>
      </c>
      <c r="C17">
        <v>26615895</v>
      </c>
      <c r="D17">
        <v>25685390</v>
      </c>
      <c r="E17">
        <v>1</v>
      </c>
      <c r="F17">
        <v>1</v>
      </c>
      <c r="G17">
        <v>25674181</v>
      </c>
      <c r="H17">
        <v>2</v>
      </c>
      <c r="I17" t="s">
        <v>297</v>
      </c>
      <c r="J17" t="s">
        <v>298</v>
      </c>
      <c r="K17" t="s">
        <v>299</v>
      </c>
      <c r="L17">
        <v>1368</v>
      </c>
      <c r="N17">
        <v>1011</v>
      </c>
      <c r="O17" t="s">
        <v>300</v>
      </c>
      <c r="P17" t="s">
        <v>300</v>
      </c>
      <c r="Q17">
        <v>1</v>
      </c>
      <c r="W17">
        <v>0</v>
      </c>
      <c r="X17">
        <v>144256025</v>
      </c>
      <c r="Y17">
        <v>0.56</v>
      </c>
      <c r="AA17">
        <v>0</v>
      </c>
      <c r="AB17">
        <v>32.82</v>
      </c>
      <c r="AC17">
        <v>6.85</v>
      </c>
      <c r="AD17">
        <v>0</v>
      </c>
      <c r="AE17">
        <v>0</v>
      </c>
      <c r="AF17">
        <v>32.82</v>
      </c>
      <c r="AG17">
        <v>6.85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0.56</v>
      </c>
      <c r="AV17">
        <v>0</v>
      </c>
      <c r="AW17">
        <v>2</v>
      </c>
      <c r="AX17">
        <v>26615907</v>
      </c>
      <c r="AY17">
        <v>1</v>
      </c>
      <c r="AZ17">
        <v>0</v>
      </c>
      <c r="BA17">
        <v>12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Y17*Source!I37</f>
        <v>0.56</v>
      </c>
      <c r="CY17">
        <f>AB17</f>
        <v>32.82</v>
      </c>
      <c r="CZ17">
        <f>AF17</f>
        <v>32.82</v>
      </c>
      <c r="DA17">
        <f>AJ17</f>
        <v>1</v>
      </c>
      <c r="DB17">
        <v>0</v>
      </c>
    </row>
    <row r="18" spans="1:106" ht="12.75">
      <c r="A18">
        <f>ROW(Source!A37)</f>
        <v>37</v>
      </c>
      <c r="B18">
        <v>26615678</v>
      </c>
      <c r="C18">
        <v>26615895</v>
      </c>
      <c r="D18">
        <v>25686794</v>
      </c>
      <c r="E18">
        <v>1</v>
      </c>
      <c r="F18">
        <v>1</v>
      </c>
      <c r="G18">
        <v>25674181</v>
      </c>
      <c r="H18">
        <v>3</v>
      </c>
      <c r="I18" t="s">
        <v>314</v>
      </c>
      <c r="J18" t="s">
        <v>315</v>
      </c>
      <c r="K18" t="s">
        <v>316</v>
      </c>
      <c r="L18">
        <v>1348</v>
      </c>
      <c r="N18">
        <v>1013</v>
      </c>
      <c r="O18" t="s">
        <v>67</v>
      </c>
      <c r="P18" t="s">
        <v>67</v>
      </c>
      <c r="Q18">
        <v>1</v>
      </c>
      <c r="W18">
        <v>0</v>
      </c>
      <c r="X18">
        <v>-441702737</v>
      </c>
      <c r="Y18">
        <v>0.00127</v>
      </c>
      <c r="AA18">
        <v>85160.23</v>
      </c>
      <c r="AB18">
        <v>0</v>
      </c>
      <c r="AC18">
        <v>0</v>
      </c>
      <c r="AD18">
        <v>0</v>
      </c>
      <c r="AE18">
        <v>85160.23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0.00127</v>
      </c>
      <c r="AV18">
        <v>0</v>
      </c>
      <c r="AW18">
        <v>2</v>
      </c>
      <c r="AX18">
        <v>26615908</v>
      </c>
      <c r="AY18">
        <v>1</v>
      </c>
      <c r="AZ18">
        <v>0</v>
      </c>
      <c r="BA18">
        <v>13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Y18*Source!I37</f>
        <v>0.00127</v>
      </c>
      <c r="CY18">
        <f aca="true" t="shared" si="3" ref="CY18:CY25">AA18</f>
        <v>85160.23</v>
      </c>
      <c r="CZ18">
        <f aca="true" t="shared" si="4" ref="CZ18:CZ25">AE18</f>
        <v>85160.23</v>
      </c>
      <c r="DA18">
        <f aca="true" t="shared" si="5" ref="DA18:DA25">AI18</f>
        <v>1</v>
      </c>
      <c r="DB18">
        <v>0</v>
      </c>
    </row>
    <row r="19" spans="1:106" ht="12.75">
      <c r="A19">
        <f>ROW(Source!A37)</f>
        <v>37</v>
      </c>
      <c r="B19">
        <v>26615678</v>
      </c>
      <c r="C19">
        <v>26615895</v>
      </c>
      <c r="D19">
        <v>25687629</v>
      </c>
      <c r="E19">
        <v>1</v>
      </c>
      <c r="F19">
        <v>1</v>
      </c>
      <c r="G19">
        <v>25674181</v>
      </c>
      <c r="H19">
        <v>3</v>
      </c>
      <c r="I19" t="s">
        <v>317</v>
      </c>
      <c r="J19" t="s">
        <v>318</v>
      </c>
      <c r="K19" t="s">
        <v>319</v>
      </c>
      <c r="L19">
        <v>1348</v>
      </c>
      <c r="N19">
        <v>1013</v>
      </c>
      <c r="O19" t="s">
        <v>67</v>
      </c>
      <c r="P19" t="s">
        <v>67</v>
      </c>
      <c r="Q19">
        <v>1</v>
      </c>
      <c r="W19">
        <v>0</v>
      </c>
      <c r="X19">
        <v>209245722</v>
      </c>
      <c r="Y19">
        <v>0.00039</v>
      </c>
      <c r="AA19">
        <v>117957.19</v>
      </c>
      <c r="AB19">
        <v>0</v>
      </c>
      <c r="AC19">
        <v>0</v>
      </c>
      <c r="AD19">
        <v>0</v>
      </c>
      <c r="AE19">
        <v>117957.19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0.00039</v>
      </c>
      <c r="AV19">
        <v>0</v>
      </c>
      <c r="AW19">
        <v>2</v>
      </c>
      <c r="AX19">
        <v>26615909</v>
      </c>
      <c r="AY19">
        <v>1</v>
      </c>
      <c r="AZ19">
        <v>0</v>
      </c>
      <c r="BA19">
        <v>14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Y19*Source!I37</f>
        <v>0.00039</v>
      </c>
      <c r="CY19">
        <f t="shared" si="3"/>
        <v>117957.19</v>
      </c>
      <c r="CZ19">
        <f t="shared" si="4"/>
        <v>117957.19</v>
      </c>
      <c r="DA19">
        <f t="shared" si="5"/>
        <v>1</v>
      </c>
      <c r="DB19">
        <v>0</v>
      </c>
    </row>
    <row r="20" spans="1:106" ht="12.75">
      <c r="A20">
        <f>ROW(Source!A37)</f>
        <v>37</v>
      </c>
      <c r="B20">
        <v>26615678</v>
      </c>
      <c r="C20">
        <v>26615895</v>
      </c>
      <c r="D20">
        <v>25687974</v>
      </c>
      <c r="E20">
        <v>1</v>
      </c>
      <c r="F20">
        <v>1</v>
      </c>
      <c r="G20">
        <v>25674181</v>
      </c>
      <c r="H20">
        <v>3</v>
      </c>
      <c r="I20" t="s">
        <v>320</v>
      </c>
      <c r="J20" t="s">
        <v>321</v>
      </c>
      <c r="K20" t="s">
        <v>322</v>
      </c>
      <c r="L20">
        <v>1348</v>
      </c>
      <c r="N20">
        <v>1013</v>
      </c>
      <c r="O20" t="s">
        <v>67</v>
      </c>
      <c r="P20" t="s">
        <v>67</v>
      </c>
      <c r="Q20">
        <v>1</v>
      </c>
      <c r="W20">
        <v>0</v>
      </c>
      <c r="X20">
        <v>218864245</v>
      </c>
      <c r="Y20">
        <v>7E-05</v>
      </c>
      <c r="AA20">
        <v>142669.85</v>
      </c>
      <c r="AB20">
        <v>0</v>
      </c>
      <c r="AC20">
        <v>0</v>
      </c>
      <c r="AD20">
        <v>0</v>
      </c>
      <c r="AE20">
        <v>142669.85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7E-05</v>
      </c>
      <c r="AV20">
        <v>0</v>
      </c>
      <c r="AW20">
        <v>2</v>
      </c>
      <c r="AX20">
        <v>26615910</v>
      </c>
      <c r="AY20">
        <v>1</v>
      </c>
      <c r="AZ20">
        <v>0</v>
      </c>
      <c r="BA20">
        <v>15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Y20*Source!I37</f>
        <v>7E-05</v>
      </c>
      <c r="CY20">
        <f t="shared" si="3"/>
        <v>142669.85</v>
      </c>
      <c r="CZ20">
        <f t="shared" si="4"/>
        <v>142669.85</v>
      </c>
      <c r="DA20">
        <f t="shared" si="5"/>
        <v>1</v>
      </c>
      <c r="DB20">
        <v>0</v>
      </c>
    </row>
    <row r="21" spans="1:106" ht="12.75">
      <c r="A21">
        <f>ROW(Source!A37)</f>
        <v>37</v>
      </c>
      <c r="B21">
        <v>26615678</v>
      </c>
      <c r="C21">
        <v>26615895</v>
      </c>
      <c r="D21">
        <v>25691708</v>
      </c>
      <c r="E21">
        <v>1</v>
      </c>
      <c r="F21">
        <v>1</v>
      </c>
      <c r="G21">
        <v>25674181</v>
      </c>
      <c r="H21">
        <v>3</v>
      </c>
      <c r="I21" t="s">
        <v>323</v>
      </c>
      <c r="J21" t="s">
        <v>324</v>
      </c>
      <c r="K21" t="s">
        <v>325</v>
      </c>
      <c r="L21">
        <v>1354</v>
      </c>
      <c r="N21">
        <v>1013</v>
      </c>
      <c r="O21" t="s">
        <v>17</v>
      </c>
      <c r="P21" t="s">
        <v>17</v>
      </c>
      <c r="Q21">
        <v>1</v>
      </c>
      <c r="W21">
        <v>0</v>
      </c>
      <c r="X21">
        <v>16921731</v>
      </c>
      <c r="Y21">
        <v>1</v>
      </c>
      <c r="AA21">
        <v>131.99</v>
      </c>
      <c r="AB21">
        <v>0</v>
      </c>
      <c r="AC21">
        <v>0</v>
      </c>
      <c r="AD21">
        <v>0</v>
      </c>
      <c r="AE21">
        <v>131.99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1</v>
      </c>
      <c r="AV21">
        <v>0</v>
      </c>
      <c r="AW21">
        <v>2</v>
      </c>
      <c r="AX21">
        <v>26615911</v>
      </c>
      <c r="AY21">
        <v>1</v>
      </c>
      <c r="AZ21">
        <v>0</v>
      </c>
      <c r="BA21">
        <v>16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Y21*Source!I37</f>
        <v>1</v>
      </c>
      <c r="CY21">
        <f t="shared" si="3"/>
        <v>131.99</v>
      </c>
      <c r="CZ21">
        <f t="shared" si="4"/>
        <v>131.99</v>
      </c>
      <c r="DA21">
        <f t="shared" si="5"/>
        <v>1</v>
      </c>
      <c r="DB21">
        <v>0</v>
      </c>
    </row>
    <row r="22" spans="1:106" ht="12.75">
      <c r="A22">
        <f>ROW(Source!A37)</f>
        <v>37</v>
      </c>
      <c r="B22">
        <v>26615678</v>
      </c>
      <c r="C22">
        <v>26615895</v>
      </c>
      <c r="D22">
        <v>25691707</v>
      </c>
      <c r="E22">
        <v>1</v>
      </c>
      <c r="F22">
        <v>1</v>
      </c>
      <c r="G22">
        <v>25674181</v>
      </c>
      <c r="H22">
        <v>3</v>
      </c>
      <c r="I22" t="s">
        <v>326</v>
      </c>
      <c r="J22" t="s">
        <v>327</v>
      </c>
      <c r="K22" t="s">
        <v>328</v>
      </c>
      <c r="L22">
        <v>1354</v>
      </c>
      <c r="N22">
        <v>1013</v>
      </c>
      <c r="O22" t="s">
        <v>17</v>
      </c>
      <c r="P22" t="s">
        <v>17</v>
      </c>
      <c r="Q22">
        <v>1</v>
      </c>
      <c r="W22">
        <v>0</v>
      </c>
      <c r="X22">
        <v>484185075</v>
      </c>
      <c r="Y22">
        <v>1</v>
      </c>
      <c r="AA22">
        <v>152.4</v>
      </c>
      <c r="AB22">
        <v>0</v>
      </c>
      <c r="AC22">
        <v>0</v>
      </c>
      <c r="AD22">
        <v>0</v>
      </c>
      <c r="AE22">
        <v>152.4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1</v>
      </c>
      <c r="AV22">
        <v>0</v>
      </c>
      <c r="AW22">
        <v>2</v>
      </c>
      <c r="AX22">
        <v>26615912</v>
      </c>
      <c r="AY22">
        <v>1</v>
      </c>
      <c r="AZ22">
        <v>0</v>
      </c>
      <c r="BA22">
        <v>17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Y22*Source!I37</f>
        <v>1</v>
      </c>
      <c r="CY22">
        <f t="shared" si="3"/>
        <v>152.4</v>
      </c>
      <c r="CZ22">
        <f t="shared" si="4"/>
        <v>152.4</v>
      </c>
      <c r="DA22">
        <f t="shared" si="5"/>
        <v>1</v>
      </c>
      <c r="DB22">
        <v>0</v>
      </c>
    </row>
    <row r="23" spans="1:106" ht="12.75">
      <c r="A23">
        <f>ROW(Source!A37)</f>
        <v>37</v>
      </c>
      <c r="B23">
        <v>26615678</v>
      </c>
      <c r="C23">
        <v>26615895</v>
      </c>
      <c r="D23">
        <v>25688503</v>
      </c>
      <c r="E23">
        <v>1</v>
      </c>
      <c r="F23">
        <v>1</v>
      </c>
      <c r="G23">
        <v>25674181</v>
      </c>
      <c r="H23">
        <v>3</v>
      </c>
      <c r="I23" t="s">
        <v>329</v>
      </c>
      <c r="J23" t="s">
        <v>330</v>
      </c>
      <c r="K23" t="s">
        <v>331</v>
      </c>
      <c r="L23">
        <v>1339</v>
      </c>
      <c r="N23">
        <v>1007</v>
      </c>
      <c r="O23" t="s">
        <v>310</v>
      </c>
      <c r="P23" t="s">
        <v>310</v>
      </c>
      <c r="Q23">
        <v>1</v>
      </c>
      <c r="W23">
        <v>0</v>
      </c>
      <c r="X23">
        <v>-1623564269</v>
      </c>
      <c r="Y23">
        <v>0.014</v>
      </c>
      <c r="AA23">
        <v>2593.7</v>
      </c>
      <c r="AB23">
        <v>0</v>
      </c>
      <c r="AC23">
        <v>0</v>
      </c>
      <c r="AD23">
        <v>0</v>
      </c>
      <c r="AE23">
        <v>2593.7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0.014</v>
      </c>
      <c r="AV23">
        <v>0</v>
      </c>
      <c r="AW23">
        <v>2</v>
      </c>
      <c r="AX23">
        <v>26615913</v>
      </c>
      <c r="AY23">
        <v>1</v>
      </c>
      <c r="AZ23">
        <v>0</v>
      </c>
      <c r="BA23">
        <v>18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Y23*Source!I37</f>
        <v>0.014</v>
      </c>
      <c r="CY23">
        <f t="shared" si="3"/>
        <v>2593.7</v>
      </c>
      <c r="CZ23">
        <f t="shared" si="4"/>
        <v>2593.7</v>
      </c>
      <c r="DA23">
        <f t="shared" si="5"/>
        <v>1</v>
      </c>
      <c r="DB23">
        <v>0</v>
      </c>
    </row>
    <row r="24" spans="1:106" ht="12.75">
      <c r="A24">
        <f>ROW(Source!A37)</f>
        <v>37</v>
      </c>
      <c r="B24">
        <v>26615678</v>
      </c>
      <c r="C24">
        <v>26615895</v>
      </c>
      <c r="D24">
        <v>25688782</v>
      </c>
      <c r="E24">
        <v>1</v>
      </c>
      <c r="F24">
        <v>1</v>
      </c>
      <c r="G24">
        <v>25674181</v>
      </c>
      <c r="H24">
        <v>3</v>
      </c>
      <c r="I24" t="s">
        <v>332</v>
      </c>
      <c r="J24" t="s">
        <v>333</v>
      </c>
      <c r="K24" t="s">
        <v>334</v>
      </c>
      <c r="L24">
        <v>1348</v>
      </c>
      <c r="N24">
        <v>1013</v>
      </c>
      <c r="O24" t="s">
        <v>67</v>
      </c>
      <c r="P24" t="s">
        <v>67</v>
      </c>
      <c r="Q24">
        <v>1</v>
      </c>
      <c r="W24">
        <v>0</v>
      </c>
      <c r="X24">
        <v>-369541995</v>
      </c>
      <c r="Y24">
        <v>0.0022</v>
      </c>
      <c r="AA24">
        <v>36416.11</v>
      </c>
      <c r="AB24">
        <v>0</v>
      </c>
      <c r="AC24">
        <v>0</v>
      </c>
      <c r="AD24">
        <v>0</v>
      </c>
      <c r="AE24">
        <v>36416.11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0.0022</v>
      </c>
      <c r="AV24">
        <v>0</v>
      </c>
      <c r="AW24">
        <v>2</v>
      </c>
      <c r="AX24">
        <v>26615914</v>
      </c>
      <c r="AY24">
        <v>1</v>
      </c>
      <c r="AZ24">
        <v>0</v>
      </c>
      <c r="BA24">
        <v>19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Y24*Source!I37</f>
        <v>0.0022</v>
      </c>
      <c r="CY24">
        <f t="shared" si="3"/>
        <v>36416.11</v>
      </c>
      <c r="CZ24">
        <f t="shared" si="4"/>
        <v>36416.11</v>
      </c>
      <c r="DA24">
        <f t="shared" si="5"/>
        <v>1</v>
      </c>
      <c r="DB24">
        <v>0</v>
      </c>
    </row>
    <row r="25" spans="1:106" ht="12.75">
      <c r="A25">
        <f>ROW(Source!A37)</f>
        <v>37</v>
      </c>
      <c r="B25">
        <v>26615678</v>
      </c>
      <c r="C25">
        <v>26615895</v>
      </c>
      <c r="D25">
        <v>0</v>
      </c>
      <c r="E25">
        <v>0</v>
      </c>
      <c r="F25">
        <v>1</v>
      </c>
      <c r="G25">
        <v>25674181</v>
      </c>
      <c r="H25">
        <v>3</v>
      </c>
      <c r="I25" t="s">
        <v>61</v>
      </c>
      <c r="K25" t="s">
        <v>62</v>
      </c>
      <c r="L25">
        <v>1371</v>
      </c>
      <c r="N25">
        <v>1013</v>
      </c>
      <c r="O25" t="s">
        <v>25</v>
      </c>
      <c r="P25" t="s">
        <v>25</v>
      </c>
      <c r="Q25">
        <v>1</v>
      </c>
      <c r="W25">
        <v>0</v>
      </c>
      <c r="X25">
        <v>746369195</v>
      </c>
      <c r="Y25">
        <v>1</v>
      </c>
      <c r="AA25">
        <v>7584.75</v>
      </c>
      <c r="AB25">
        <v>0</v>
      </c>
      <c r="AC25">
        <v>0</v>
      </c>
      <c r="AD25">
        <v>0</v>
      </c>
      <c r="AE25">
        <v>7584.75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T25">
        <v>1</v>
      </c>
      <c r="AV25">
        <v>0</v>
      </c>
      <c r="AW25">
        <v>1</v>
      </c>
      <c r="AX25">
        <v>-1</v>
      </c>
      <c r="AY25">
        <v>0</v>
      </c>
      <c r="AZ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Y25*Source!I37</f>
        <v>1</v>
      </c>
      <c r="CY25">
        <f t="shared" si="3"/>
        <v>7584.75</v>
      </c>
      <c r="CZ25">
        <f t="shared" si="4"/>
        <v>7584.75</v>
      </c>
      <c r="DA25">
        <f t="shared" si="5"/>
        <v>1</v>
      </c>
      <c r="DB25">
        <v>0</v>
      </c>
    </row>
    <row r="26" spans="1:106" ht="12.75">
      <c r="A26">
        <f>ROW(Source!A39)</f>
        <v>39</v>
      </c>
      <c r="B26">
        <v>26615678</v>
      </c>
      <c r="C26">
        <v>26616397</v>
      </c>
      <c r="D26">
        <v>25674184</v>
      </c>
      <c r="E26">
        <v>25674181</v>
      </c>
      <c r="F26">
        <v>1</v>
      </c>
      <c r="G26">
        <v>25674181</v>
      </c>
      <c r="H26">
        <v>1</v>
      </c>
      <c r="I26" t="s">
        <v>291</v>
      </c>
      <c r="K26" t="s">
        <v>292</v>
      </c>
      <c r="L26">
        <v>1191</v>
      </c>
      <c r="N26">
        <v>1013</v>
      </c>
      <c r="O26" t="s">
        <v>293</v>
      </c>
      <c r="P26" t="s">
        <v>293</v>
      </c>
      <c r="Q26">
        <v>1</v>
      </c>
      <c r="W26">
        <v>0</v>
      </c>
      <c r="X26">
        <v>476480486</v>
      </c>
      <c r="Y26">
        <v>94.42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94.42</v>
      </c>
      <c r="AV26">
        <v>1</v>
      </c>
      <c r="AW26">
        <v>2</v>
      </c>
      <c r="AX26">
        <v>26616398</v>
      </c>
      <c r="AY26">
        <v>1</v>
      </c>
      <c r="AZ26">
        <v>0</v>
      </c>
      <c r="BA26">
        <v>21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Y26*Source!I39</f>
        <v>2.860926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ht="12.75">
      <c r="A27">
        <f>ROW(Source!A39)</f>
        <v>39</v>
      </c>
      <c r="B27">
        <v>26615678</v>
      </c>
      <c r="C27">
        <v>26616397</v>
      </c>
      <c r="D27">
        <v>25685382</v>
      </c>
      <c r="E27">
        <v>1</v>
      </c>
      <c r="F27">
        <v>1</v>
      </c>
      <c r="G27">
        <v>25674181</v>
      </c>
      <c r="H27">
        <v>2</v>
      </c>
      <c r="I27" t="s">
        <v>335</v>
      </c>
      <c r="J27" t="s">
        <v>336</v>
      </c>
      <c r="K27" t="s">
        <v>337</v>
      </c>
      <c r="L27">
        <v>1368</v>
      </c>
      <c r="N27">
        <v>1011</v>
      </c>
      <c r="O27" t="s">
        <v>300</v>
      </c>
      <c r="P27" t="s">
        <v>300</v>
      </c>
      <c r="Q27">
        <v>1</v>
      </c>
      <c r="W27">
        <v>0</v>
      </c>
      <c r="X27">
        <v>35090631</v>
      </c>
      <c r="Y27">
        <v>0.08</v>
      </c>
      <c r="AA27">
        <v>0</v>
      </c>
      <c r="AB27">
        <v>46.29</v>
      </c>
      <c r="AC27">
        <v>7.67</v>
      </c>
      <c r="AD27">
        <v>0</v>
      </c>
      <c r="AE27">
        <v>0</v>
      </c>
      <c r="AF27">
        <v>46.29</v>
      </c>
      <c r="AG27">
        <v>7.67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0.08</v>
      </c>
      <c r="AV27">
        <v>0</v>
      </c>
      <c r="AW27">
        <v>2</v>
      </c>
      <c r="AX27">
        <v>26616399</v>
      </c>
      <c r="AY27">
        <v>1</v>
      </c>
      <c r="AZ27">
        <v>0</v>
      </c>
      <c r="BA27">
        <v>22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Y27*Source!I39</f>
        <v>0.002424</v>
      </c>
      <c r="CY27">
        <f>AB27</f>
        <v>46.29</v>
      </c>
      <c r="CZ27">
        <f>AF27</f>
        <v>46.29</v>
      </c>
      <c r="DA27">
        <f>AJ27</f>
        <v>1</v>
      </c>
      <c r="DB27">
        <v>0</v>
      </c>
    </row>
    <row r="28" spans="1:106" ht="12.75">
      <c r="A28">
        <f>ROW(Source!A39)</f>
        <v>39</v>
      </c>
      <c r="B28">
        <v>26615678</v>
      </c>
      <c r="C28">
        <v>26616397</v>
      </c>
      <c r="D28">
        <v>25685058</v>
      </c>
      <c r="E28">
        <v>1</v>
      </c>
      <c r="F28">
        <v>1</v>
      </c>
      <c r="G28">
        <v>25674181</v>
      </c>
      <c r="H28">
        <v>2</v>
      </c>
      <c r="I28" t="s">
        <v>338</v>
      </c>
      <c r="J28" t="s">
        <v>339</v>
      </c>
      <c r="K28" t="s">
        <v>340</v>
      </c>
      <c r="L28">
        <v>1368</v>
      </c>
      <c r="N28">
        <v>1011</v>
      </c>
      <c r="O28" t="s">
        <v>300</v>
      </c>
      <c r="P28" t="s">
        <v>300</v>
      </c>
      <c r="Q28">
        <v>1</v>
      </c>
      <c r="W28">
        <v>0</v>
      </c>
      <c r="X28">
        <v>-174936754</v>
      </c>
      <c r="Y28">
        <v>0.95</v>
      </c>
      <c r="AA28">
        <v>0</v>
      </c>
      <c r="AB28">
        <v>23.13</v>
      </c>
      <c r="AC28">
        <v>0.82</v>
      </c>
      <c r="AD28">
        <v>0</v>
      </c>
      <c r="AE28">
        <v>0</v>
      </c>
      <c r="AF28">
        <v>23.13</v>
      </c>
      <c r="AG28">
        <v>0.82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0.95</v>
      </c>
      <c r="AV28">
        <v>0</v>
      </c>
      <c r="AW28">
        <v>2</v>
      </c>
      <c r="AX28">
        <v>26616400</v>
      </c>
      <c r="AY28">
        <v>1</v>
      </c>
      <c r="AZ28">
        <v>0</v>
      </c>
      <c r="BA28">
        <v>23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Y28*Source!I39</f>
        <v>0.028784999999999998</v>
      </c>
      <c r="CY28">
        <f>AB28</f>
        <v>23.13</v>
      </c>
      <c r="CZ28">
        <f>AF28</f>
        <v>23.13</v>
      </c>
      <c r="DA28">
        <f>AJ28</f>
        <v>1</v>
      </c>
      <c r="DB28">
        <v>0</v>
      </c>
    </row>
    <row r="29" spans="1:106" ht="12.75">
      <c r="A29">
        <f>ROW(Source!A39)</f>
        <v>39</v>
      </c>
      <c r="B29">
        <v>26615678</v>
      </c>
      <c r="C29">
        <v>26616397</v>
      </c>
      <c r="D29">
        <v>25687629</v>
      </c>
      <c r="E29">
        <v>1</v>
      </c>
      <c r="F29">
        <v>1</v>
      </c>
      <c r="G29">
        <v>25674181</v>
      </c>
      <c r="H29">
        <v>3</v>
      </c>
      <c r="I29" t="s">
        <v>317</v>
      </c>
      <c r="J29" t="s">
        <v>318</v>
      </c>
      <c r="K29" t="s">
        <v>319</v>
      </c>
      <c r="L29">
        <v>1348</v>
      </c>
      <c r="N29">
        <v>1013</v>
      </c>
      <c r="O29" t="s">
        <v>67</v>
      </c>
      <c r="P29" t="s">
        <v>67</v>
      </c>
      <c r="Q29">
        <v>1</v>
      </c>
      <c r="W29">
        <v>0</v>
      </c>
      <c r="X29">
        <v>209245722</v>
      </c>
      <c r="Y29">
        <v>0.0007</v>
      </c>
      <c r="AA29">
        <v>117957.19</v>
      </c>
      <c r="AB29">
        <v>0</v>
      </c>
      <c r="AC29">
        <v>0</v>
      </c>
      <c r="AD29">
        <v>0</v>
      </c>
      <c r="AE29">
        <v>117957.19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0.0007</v>
      </c>
      <c r="AV29">
        <v>0</v>
      </c>
      <c r="AW29">
        <v>2</v>
      </c>
      <c r="AX29">
        <v>26616401</v>
      </c>
      <c r="AY29">
        <v>1</v>
      </c>
      <c r="AZ29">
        <v>0</v>
      </c>
      <c r="BA29">
        <v>24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Y29*Source!I39</f>
        <v>2.121E-05</v>
      </c>
      <c r="CY29">
        <f>AA29</f>
        <v>117957.19</v>
      </c>
      <c r="CZ29">
        <f>AE29</f>
        <v>117957.19</v>
      </c>
      <c r="DA29">
        <f>AI29</f>
        <v>1</v>
      </c>
      <c r="DB29">
        <v>0</v>
      </c>
    </row>
    <row r="30" spans="1:106" ht="12.75">
      <c r="A30">
        <f>ROW(Source!A39)</f>
        <v>39</v>
      </c>
      <c r="B30">
        <v>26615678</v>
      </c>
      <c r="C30">
        <v>26616397</v>
      </c>
      <c r="D30">
        <v>0</v>
      </c>
      <c r="E30">
        <v>0</v>
      </c>
      <c r="F30">
        <v>1</v>
      </c>
      <c r="G30">
        <v>25674181</v>
      </c>
      <c r="H30">
        <v>3</v>
      </c>
      <c r="I30" t="s">
        <v>70</v>
      </c>
      <c r="K30" t="s">
        <v>71</v>
      </c>
      <c r="L30">
        <v>1371</v>
      </c>
      <c r="N30">
        <v>1013</v>
      </c>
      <c r="O30" t="s">
        <v>25</v>
      </c>
      <c r="P30" t="s">
        <v>25</v>
      </c>
      <c r="Q30">
        <v>1</v>
      </c>
      <c r="W30">
        <v>0</v>
      </c>
      <c r="X30">
        <v>-239010240</v>
      </c>
      <c r="Y30">
        <v>33.0033</v>
      </c>
      <c r="AA30">
        <v>3889.83</v>
      </c>
      <c r="AB30">
        <v>0</v>
      </c>
      <c r="AC30">
        <v>0</v>
      </c>
      <c r="AD30">
        <v>0</v>
      </c>
      <c r="AE30">
        <v>3889.83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33.0033</v>
      </c>
      <c r="AV30">
        <v>0</v>
      </c>
      <c r="AW30">
        <v>1</v>
      </c>
      <c r="AX30">
        <v>-1</v>
      </c>
      <c r="AY30">
        <v>0</v>
      </c>
      <c r="AZ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Y30*Source!I39</f>
        <v>0.9999999900000001</v>
      </c>
      <c r="CY30">
        <f>AA30</f>
        <v>3889.83</v>
      </c>
      <c r="CZ30">
        <f>AE30</f>
        <v>3889.83</v>
      </c>
      <c r="DA30">
        <f>AI30</f>
        <v>1</v>
      </c>
      <c r="DB30">
        <v>0</v>
      </c>
    </row>
    <row r="31" spans="1:106" ht="12.75">
      <c r="A31">
        <f>ROW(Source!A41)</f>
        <v>41</v>
      </c>
      <c r="B31">
        <v>26615678</v>
      </c>
      <c r="C31">
        <v>26616408</v>
      </c>
      <c r="D31">
        <v>25674184</v>
      </c>
      <c r="E31">
        <v>25674181</v>
      </c>
      <c r="F31">
        <v>1</v>
      </c>
      <c r="G31">
        <v>25674181</v>
      </c>
      <c r="H31">
        <v>1</v>
      </c>
      <c r="I31" t="s">
        <v>291</v>
      </c>
      <c r="K31" t="s">
        <v>292</v>
      </c>
      <c r="L31">
        <v>1191</v>
      </c>
      <c r="N31">
        <v>1013</v>
      </c>
      <c r="O31" t="s">
        <v>293</v>
      </c>
      <c r="P31" t="s">
        <v>293</v>
      </c>
      <c r="Q31">
        <v>1</v>
      </c>
      <c r="W31">
        <v>0</v>
      </c>
      <c r="X31">
        <v>476480486</v>
      </c>
      <c r="Y31">
        <v>177.1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177.1</v>
      </c>
      <c r="AV31">
        <v>1</v>
      </c>
      <c r="AW31">
        <v>2</v>
      </c>
      <c r="AX31">
        <v>26616409</v>
      </c>
      <c r="AY31">
        <v>1</v>
      </c>
      <c r="AZ31">
        <v>0</v>
      </c>
      <c r="BA31">
        <v>26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Y31*Source!I41</f>
        <v>37.0139</v>
      </c>
      <c r="CY31">
        <f>AD31</f>
        <v>0</v>
      </c>
      <c r="CZ31">
        <f>AH31</f>
        <v>0</v>
      </c>
      <c r="DA31">
        <f>AL31</f>
        <v>1</v>
      </c>
      <c r="DB31">
        <v>0</v>
      </c>
    </row>
    <row r="32" spans="1:106" ht="12.75">
      <c r="A32">
        <f>ROW(Source!A41)</f>
        <v>41</v>
      </c>
      <c r="B32">
        <v>26615678</v>
      </c>
      <c r="C32">
        <v>26616408</v>
      </c>
      <c r="D32">
        <v>25685390</v>
      </c>
      <c r="E32">
        <v>1</v>
      </c>
      <c r="F32">
        <v>1</v>
      </c>
      <c r="G32">
        <v>25674181</v>
      </c>
      <c r="H32">
        <v>2</v>
      </c>
      <c r="I32" t="s">
        <v>297</v>
      </c>
      <c r="J32" t="s">
        <v>298</v>
      </c>
      <c r="K32" t="s">
        <v>299</v>
      </c>
      <c r="L32">
        <v>1368</v>
      </c>
      <c r="N32">
        <v>1011</v>
      </c>
      <c r="O32" t="s">
        <v>300</v>
      </c>
      <c r="P32" t="s">
        <v>300</v>
      </c>
      <c r="Q32">
        <v>1</v>
      </c>
      <c r="W32">
        <v>0</v>
      </c>
      <c r="X32">
        <v>144256025</v>
      </c>
      <c r="Y32">
        <v>1.92</v>
      </c>
      <c r="AA32">
        <v>0</v>
      </c>
      <c r="AB32">
        <v>32.82</v>
      </c>
      <c r="AC32">
        <v>6.85</v>
      </c>
      <c r="AD32">
        <v>0</v>
      </c>
      <c r="AE32">
        <v>0</v>
      </c>
      <c r="AF32">
        <v>32.82</v>
      </c>
      <c r="AG32">
        <v>6.85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1.92</v>
      </c>
      <c r="AV32">
        <v>0</v>
      </c>
      <c r="AW32">
        <v>2</v>
      </c>
      <c r="AX32">
        <v>26616410</v>
      </c>
      <c r="AY32">
        <v>1</v>
      </c>
      <c r="AZ32">
        <v>0</v>
      </c>
      <c r="BA32">
        <v>27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Y32*Source!I41</f>
        <v>0.40127999999999997</v>
      </c>
      <c r="CY32">
        <f>AB32</f>
        <v>32.82</v>
      </c>
      <c r="CZ32">
        <f>AF32</f>
        <v>32.82</v>
      </c>
      <c r="DA32">
        <f>AJ32</f>
        <v>1</v>
      </c>
      <c r="DB32">
        <v>0</v>
      </c>
    </row>
    <row r="33" spans="1:106" ht="12.75">
      <c r="A33">
        <f>ROW(Source!A41)</f>
        <v>41</v>
      </c>
      <c r="B33">
        <v>26615678</v>
      </c>
      <c r="C33">
        <v>26616408</v>
      </c>
      <c r="D33">
        <v>25685711</v>
      </c>
      <c r="E33">
        <v>1</v>
      </c>
      <c r="F33">
        <v>1</v>
      </c>
      <c r="G33">
        <v>25674181</v>
      </c>
      <c r="H33">
        <v>2</v>
      </c>
      <c r="I33" t="s">
        <v>341</v>
      </c>
      <c r="J33" t="s">
        <v>342</v>
      </c>
      <c r="K33" t="s">
        <v>343</v>
      </c>
      <c r="L33">
        <v>1368</v>
      </c>
      <c r="N33">
        <v>1011</v>
      </c>
      <c r="O33" t="s">
        <v>300</v>
      </c>
      <c r="P33" t="s">
        <v>300</v>
      </c>
      <c r="Q33">
        <v>1</v>
      </c>
      <c r="W33">
        <v>0</v>
      </c>
      <c r="X33">
        <v>1066648727</v>
      </c>
      <c r="Y33">
        <v>0.42</v>
      </c>
      <c r="AA33">
        <v>0</v>
      </c>
      <c r="AB33">
        <v>28.36</v>
      </c>
      <c r="AC33">
        <v>9.49</v>
      </c>
      <c r="AD33">
        <v>0</v>
      </c>
      <c r="AE33">
        <v>0</v>
      </c>
      <c r="AF33">
        <v>28.36</v>
      </c>
      <c r="AG33">
        <v>9.49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0.42</v>
      </c>
      <c r="AV33">
        <v>0</v>
      </c>
      <c r="AW33">
        <v>2</v>
      </c>
      <c r="AX33">
        <v>26616411</v>
      </c>
      <c r="AY33">
        <v>1</v>
      </c>
      <c r="AZ33">
        <v>0</v>
      </c>
      <c r="BA33">
        <v>28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Y33*Source!I41</f>
        <v>0.08778</v>
      </c>
      <c r="CY33">
        <f>AB33</f>
        <v>28.36</v>
      </c>
      <c r="CZ33">
        <f>AF33</f>
        <v>28.36</v>
      </c>
      <c r="DA33">
        <f>AJ33</f>
        <v>1</v>
      </c>
      <c r="DB33">
        <v>0</v>
      </c>
    </row>
    <row r="34" spans="1:106" ht="12.75">
      <c r="A34">
        <f>ROW(Source!A41)</f>
        <v>41</v>
      </c>
      <c r="B34">
        <v>26615678</v>
      </c>
      <c r="C34">
        <v>26616408</v>
      </c>
      <c r="D34">
        <v>25686794</v>
      </c>
      <c r="E34">
        <v>1</v>
      </c>
      <c r="F34">
        <v>1</v>
      </c>
      <c r="G34">
        <v>25674181</v>
      </c>
      <c r="H34">
        <v>3</v>
      </c>
      <c r="I34" t="s">
        <v>314</v>
      </c>
      <c r="J34" t="s">
        <v>315</v>
      </c>
      <c r="K34" t="s">
        <v>316</v>
      </c>
      <c r="L34">
        <v>1348</v>
      </c>
      <c r="N34">
        <v>1013</v>
      </c>
      <c r="O34" t="s">
        <v>67</v>
      </c>
      <c r="P34" t="s">
        <v>67</v>
      </c>
      <c r="Q34">
        <v>1</v>
      </c>
      <c r="W34">
        <v>0</v>
      </c>
      <c r="X34">
        <v>-441702737</v>
      </c>
      <c r="Y34">
        <v>0.015</v>
      </c>
      <c r="AA34">
        <v>85160.23</v>
      </c>
      <c r="AB34">
        <v>0</v>
      </c>
      <c r="AC34">
        <v>0</v>
      </c>
      <c r="AD34">
        <v>0</v>
      </c>
      <c r="AE34">
        <v>85160.23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0.015</v>
      </c>
      <c r="AV34">
        <v>0</v>
      </c>
      <c r="AW34">
        <v>2</v>
      </c>
      <c r="AX34">
        <v>26616413</v>
      </c>
      <c r="AY34">
        <v>1</v>
      </c>
      <c r="AZ34">
        <v>0</v>
      </c>
      <c r="BA34">
        <v>29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Y34*Source!I41</f>
        <v>0.0031349999999999998</v>
      </c>
      <c r="CY34">
        <f aca="true" t="shared" si="6" ref="CY34:CY43">AA34</f>
        <v>85160.23</v>
      </c>
      <c r="CZ34">
        <f aca="true" t="shared" si="7" ref="CZ34:CZ43">AE34</f>
        <v>85160.23</v>
      </c>
      <c r="DA34">
        <f aca="true" t="shared" si="8" ref="DA34:DA43">AI34</f>
        <v>1</v>
      </c>
      <c r="DB34">
        <v>0</v>
      </c>
    </row>
    <row r="35" spans="1:106" ht="12.75">
      <c r="A35">
        <f>ROW(Source!A41)</f>
        <v>41</v>
      </c>
      <c r="B35">
        <v>26615678</v>
      </c>
      <c r="C35">
        <v>26616408</v>
      </c>
      <c r="D35">
        <v>25685895</v>
      </c>
      <c r="E35">
        <v>1</v>
      </c>
      <c r="F35">
        <v>1</v>
      </c>
      <c r="G35">
        <v>25674181</v>
      </c>
      <c r="H35">
        <v>3</v>
      </c>
      <c r="I35" t="s">
        <v>344</v>
      </c>
      <c r="J35" t="s">
        <v>345</v>
      </c>
      <c r="K35" t="s">
        <v>346</v>
      </c>
      <c r="L35">
        <v>1348</v>
      </c>
      <c r="N35">
        <v>1013</v>
      </c>
      <c r="O35" t="s">
        <v>67</v>
      </c>
      <c r="P35" t="s">
        <v>67</v>
      </c>
      <c r="Q35">
        <v>1</v>
      </c>
      <c r="W35">
        <v>0</v>
      </c>
      <c r="X35">
        <v>1577982966</v>
      </c>
      <c r="Y35">
        <v>0.00501</v>
      </c>
      <c r="AA35">
        <v>18733.8</v>
      </c>
      <c r="AB35">
        <v>0</v>
      </c>
      <c r="AC35">
        <v>0</v>
      </c>
      <c r="AD35">
        <v>0</v>
      </c>
      <c r="AE35">
        <v>18733.8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0.00501</v>
      </c>
      <c r="AV35">
        <v>0</v>
      </c>
      <c r="AW35">
        <v>2</v>
      </c>
      <c r="AX35">
        <v>26616412</v>
      </c>
      <c r="AY35">
        <v>1</v>
      </c>
      <c r="AZ35">
        <v>0</v>
      </c>
      <c r="BA35">
        <v>30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Y35*Source!I41</f>
        <v>0.0010470899999999999</v>
      </c>
      <c r="CY35">
        <f t="shared" si="6"/>
        <v>18733.8</v>
      </c>
      <c r="CZ35">
        <f t="shared" si="7"/>
        <v>18733.8</v>
      </c>
      <c r="DA35">
        <f t="shared" si="8"/>
        <v>1</v>
      </c>
      <c r="DB35">
        <v>0</v>
      </c>
    </row>
    <row r="36" spans="1:106" ht="12.75">
      <c r="A36">
        <f>ROW(Source!A41)</f>
        <v>41</v>
      </c>
      <c r="B36">
        <v>26615678</v>
      </c>
      <c r="C36">
        <v>26616408</v>
      </c>
      <c r="D36">
        <v>25687630</v>
      </c>
      <c r="E36">
        <v>1</v>
      </c>
      <c r="F36">
        <v>1</v>
      </c>
      <c r="G36">
        <v>25674181</v>
      </c>
      <c r="H36">
        <v>3</v>
      </c>
      <c r="I36" t="s">
        <v>304</v>
      </c>
      <c r="J36" t="s">
        <v>305</v>
      </c>
      <c r="K36" t="s">
        <v>306</v>
      </c>
      <c r="L36">
        <v>1348</v>
      </c>
      <c r="N36">
        <v>1013</v>
      </c>
      <c r="O36" t="s">
        <v>67</v>
      </c>
      <c r="P36" t="s">
        <v>67</v>
      </c>
      <c r="Q36">
        <v>1</v>
      </c>
      <c r="W36">
        <v>0</v>
      </c>
      <c r="X36">
        <v>-1544492133</v>
      </c>
      <c r="Y36">
        <v>0.00045</v>
      </c>
      <c r="AA36">
        <v>109898.69</v>
      </c>
      <c r="AB36">
        <v>0</v>
      </c>
      <c r="AC36">
        <v>0</v>
      </c>
      <c r="AD36">
        <v>0</v>
      </c>
      <c r="AE36">
        <v>109898.69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0.00045</v>
      </c>
      <c r="AV36">
        <v>0</v>
      </c>
      <c r="AW36">
        <v>2</v>
      </c>
      <c r="AX36">
        <v>26616414</v>
      </c>
      <c r="AY36">
        <v>1</v>
      </c>
      <c r="AZ36">
        <v>0</v>
      </c>
      <c r="BA36">
        <v>31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Y36*Source!I41</f>
        <v>9.405E-05</v>
      </c>
      <c r="CY36">
        <f t="shared" si="6"/>
        <v>109898.69</v>
      </c>
      <c r="CZ36">
        <f t="shared" si="7"/>
        <v>109898.69</v>
      </c>
      <c r="DA36">
        <f t="shared" si="8"/>
        <v>1</v>
      </c>
      <c r="DB36">
        <v>0</v>
      </c>
    </row>
    <row r="37" spans="1:106" ht="12.75">
      <c r="A37">
        <f>ROW(Source!A41)</f>
        <v>41</v>
      </c>
      <c r="B37">
        <v>26615678</v>
      </c>
      <c r="C37">
        <v>26616408</v>
      </c>
      <c r="D37">
        <v>25687974</v>
      </c>
      <c r="E37">
        <v>1</v>
      </c>
      <c r="F37">
        <v>1</v>
      </c>
      <c r="G37">
        <v>25674181</v>
      </c>
      <c r="H37">
        <v>3</v>
      </c>
      <c r="I37" t="s">
        <v>320</v>
      </c>
      <c r="J37" t="s">
        <v>321</v>
      </c>
      <c r="K37" t="s">
        <v>322</v>
      </c>
      <c r="L37">
        <v>1348</v>
      </c>
      <c r="N37">
        <v>1013</v>
      </c>
      <c r="O37" t="s">
        <v>67</v>
      </c>
      <c r="P37" t="s">
        <v>67</v>
      </c>
      <c r="Q37">
        <v>1</v>
      </c>
      <c r="W37">
        <v>0</v>
      </c>
      <c r="X37">
        <v>218864245</v>
      </c>
      <c r="Y37">
        <v>0.008</v>
      </c>
      <c r="AA37">
        <v>142669.85</v>
      </c>
      <c r="AB37">
        <v>0</v>
      </c>
      <c r="AC37">
        <v>0</v>
      </c>
      <c r="AD37">
        <v>0</v>
      </c>
      <c r="AE37">
        <v>142669.85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0.008</v>
      </c>
      <c r="AV37">
        <v>0</v>
      </c>
      <c r="AW37">
        <v>2</v>
      </c>
      <c r="AX37">
        <v>26616415</v>
      </c>
      <c r="AY37">
        <v>1</v>
      </c>
      <c r="AZ37">
        <v>0</v>
      </c>
      <c r="BA37">
        <v>32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Y37*Source!I41</f>
        <v>0.0016719999999999999</v>
      </c>
      <c r="CY37">
        <f t="shared" si="6"/>
        <v>142669.85</v>
      </c>
      <c r="CZ37">
        <f t="shared" si="7"/>
        <v>142669.85</v>
      </c>
      <c r="DA37">
        <f t="shared" si="8"/>
        <v>1</v>
      </c>
      <c r="DB37">
        <v>0</v>
      </c>
    </row>
    <row r="38" spans="1:106" ht="12.75">
      <c r="A38">
        <f>ROW(Source!A41)</f>
        <v>41</v>
      </c>
      <c r="B38">
        <v>26615678</v>
      </c>
      <c r="C38">
        <v>26616408</v>
      </c>
      <c r="D38">
        <v>25688067</v>
      </c>
      <c r="E38">
        <v>1</v>
      </c>
      <c r="F38">
        <v>1</v>
      </c>
      <c r="G38">
        <v>25674181</v>
      </c>
      <c r="H38">
        <v>3</v>
      </c>
      <c r="I38" t="s">
        <v>347</v>
      </c>
      <c r="J38" t="s">
        <v>348</v>
      </c>
      <c r="K38" t="s">
        <v>349</v>
      </c>
      <c r="L38">
        <v>1348</v>
      </c>
      <c r="N38">
        <v>1013</v>
      </c>
      <c r="O38" t="s">
        <v>67</v>
      </c>
      <c r="P38" t="s">
        <v>67</v>
      </c>
      <c r="Q38">
        <v>1</v>
      </c>
      <c r="W38">
        <v>0</v>
      </c>
      <c r="X38">
        <v>-602459445</v>
      </c>
      <c r="Y38">
        <v>0.00089</v>
      </c>
      <c r="AA38">
        <v>165838.61</v>
      </c>
      <c r="AB38">
        <v>0</v>
      </c>
      <c r="AC38">
        <v>0</v>
      </c>
      <c r="AD38">
        <v>0</v>
      </c>
      <c r="AE38">
        <v>165838.61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0.00089</v>
      </c>
      <c r="AV38">
        <v>0</v>
      </c>
      <c r="AW38">
        <v>2</v>
      </c>
      <c r="AX38">
        <v>26616416</v>
      </c>
      <c r="AY38">
        <v>1</v>
      </c>
      <c r="AZ38">
        <v>0</v>
      </c>
      <c r="BA38">
        <v>33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Y38*Source!I41</f>
        <v>0.00018601</v>
      </c>
      <c r="CY38">
        <f t="shared" si="6"/>
        <v>165838.61</v>
      </c>
      <c r="CZ38">
        <f t="shared" si="7"/>
        <v>165838.61</v>
      </c>
      <c r="DA38">
        <f t="shared" si="8"/>
        <v>1</v>
      </c>
      <c r="DB38">
        <v>0</v>
      </c>
    </row>
    <row r="39" spans="1:106" ht="12.75">
      <c r="A39">
        <f>ROW(Source!A41)</f>
        <v>41</v>
      </c>
      <c r="B39">
        <v>26615678</v>
      </c>
      <c r="C39">
        <v>26616408</v>
      </c>
      <c r="D39">
        <v>25693328</v>
      </c>
      <c r="E39">
        <v>1</v>
      </c>
      <c r="F39">
        <v>1</v>
      </c>
      <c r="G39">
        <v>25674181</v>
      </c>
      <c r="H39">
        <v>3</v>
      </c>
      <c r="I39" t="s">
        <v>79</v>
      </c>
      <c r="J39" t="s">
        <v>81</v>
      </c>
      <c r="K39" t="s">
        <v>80</v>
      </c>
      <c r="L39">
        <v>1354</v>
      </c>
      <c r="N39">
        <v>1013</v>
      </c>
      <c r="O39" t="s">
        <v>17</v>
      </c>
      <c r="P39" t="s">
        <v>17</v>
      </c>
      <c r="Q39">
        <v>1</v>
      </c>
      <c r="W39">
        <v>0</v>
      </c>
      <c r="X39">
        <v>547909547</v>
      </c>
      <c r="Y39">
        <v>57.416268</v>
      </c>
      <c r="AA39">
        <v>1136.98</v>
      </c>
      <c r="AB39">
        <v>0</v>
      </c>
      <c r="AC39">
        <v>0</v>
      </c>
      <c r="AD39">
        <v>0</v>
      </c>
      <c r="AE39">
        <v>1136.98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T39">
        <v>57.416268</v>
      </c>
      <c r="AV39">
        <v>0</v>
      </c>
      <c r="AW39">
        <v>1</v>
      </c>
      <c r="AX39">
        <v>-1</v>
      </c>
      <c r="AY39">
        <v>0</v>
      </c>
      <c r="AZ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Y39*Source!I41</f>
        <v>12.000000012</v>
      </c>
      <c r="CY39">
        <f t="shared" si="6"/>
        <v>1136.98</v>
      </c>
      <c r="CZ39">
        <f t="shared" si="7"/>
        <v>1136.98</v>
      </c>
      <c r="DA39">
        <f t="shared" si="8"/>
        <v>1</v>
      </c>
      <c r="DB39">
        <v>0</v>
      </c>
    </row>
    <row r="40" spans="1:106" ht="12.75">
      <c r="A40">
        <f>ROW(Source!A41)</f>
        <v>41</v>
      </c>
      <c r="B40">
        <v>26615678</v>
      </c>
      <c r="C40">
        <v>26616408</v>
      </c>
      <c r="D40">
        <v>25692920</v>
      </c>
      <c r="E40">
        <v>1</v>
      </c>
      <c r="F40">
        <v>1</v>
      </c>
      <c r="G40">
        <v>25674181</v>
      </c>
      <c r="H40">
        <v>3</v>
      </c>
      <c r="I40" t="s">
        <v>96</v>
      </c>
      <c r="J40" t="s">
        <v>98</v>
      </c>
      <c r="K40" t="s">
        <v>97</v>
      </c>
      <c r="L40">
        <v>1327</v>
      </c>
      <c r="N40">
        <v>1013</v>
      </c>
      <c r="O40" t="s">
        <v>85</v>
      </c>
      <c r="P40" t="s">
        <v>85</v>
      </c>
      <c r="Q40">
        <v>1</v>
      </c>
      <c r="W40">
        <v>0</v>
      </c>
      <c r="X40">
        <v>-244736232</v>
      </c>
      <c r="Y40">
        <v>0.07177</v>
      </c>
      <c r="AA40">
        <v>379.8</v>
      </c>
      <c r="AB40">
        <v>0</v>
      </c>
      <c r="AC40">
        <v>0</v>
      </c>
      <c r="AD40">
        <v>0</v>
      </c>
      <c r="AE40">
        <v>379.8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T40">
        <v>0.07177</v>
      </c>
      <c r="AV40">
        <v>0</v>
      </c>
      <c r="AW40">
        <v>1</v>
      </c>
      <c r="AX40">
        <v>-1</v>
      </c>
      <c r="AY40">
        <v>0</v>
      </c>
      <c r="AZ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Y40*Source!I41</f>
        <v>0.01499993</v>
      </c>
      <c r="CY40">
        <f t="shared" si="6"/>
        <v>379.8</v>
      </c>
      <c r="CZ40">
        <f t="shared" si="7"/>
        <v>379.8</v>
      </c>
      <c r="DA40">
        <f t="shared" si="8"/>
        <v>1</v>
      </c>
      <c r="DB40">
        <v>0</v>
      </c>
    </row>
    <row r="41" spans="1:106" ht="12.75">
      <c r="A41">
        <f>ROW(Source!A41)</f>
        <v>41</v>
      </c>
      <c r="B41">
        <v>26615678</v>
      </c>
      <c r="C41">
        <v>26616408</v>
      </c>
      <c r="D41">
        <v>25692918</v>
      </c>
      <c r="E41">
        <v>1</v>
      </c>
      <c r="F41">
        <v>1</v>
      </c>
      <c r="G41">
        <v>25674181</v>
      </c>
      <c r="H41">
        <v>3</v>
      </c>
      <c r="I41" t="s">
        <v>92</v>
      </c>
      <c r="J41" t="s">
        <v>94</v>
      </c>
      <c r="K41" t="s">
        <v>93</v>
      </c>
      <c r="L41">
        <v>1327</v>
      </c>
      <c r="N41">
        <v>1013</v>
      </c>
      <c r="O41" t="s">
        <v>85</v>
      </c>
      <c r="P41" t="s">
        <v>85</v>
      </c>
      <c r="Q41">
        <v>1</v>
      </c>
      <c r="W41">
        <v>0</v>
      </c>
      <c r="X41">
        <v>2049749360</v>
      </c>
      <c r="Y41">
        <v>2.392344</v>
      </c>
      <c r="AA41">
        <v>377.87</v>
      </c>
      <c r="AB41">
        <v>0</v>
      </c>
      <c r="AC41">
        <v>0</v>
      </c>
      <c r="AD41">
        <v>0</v>
      </c>
      <c r="AE41">
        <v>377.87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T41">
        <v>2.392344</v>
      </c>
      <c r="AV41">
        <v>0</v>
      </c>
      <c r="AW41">
        <v>1</v>
      </c>
      <c r="AX41">
        <v>-1</v>
      </c>
      <c r="AY41">
        <v>0</v>
      </c>
      <c r="AZ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Y41*Source!I41</f>
        <v>0.499999896</v>
      </c>
      <c r="CY41">
        <f t="shared" si="6"/>
        <v>377.87</v>
      </c>
      <c r="CZ41">
        <f t="shared" si="7"/>
        <v>377.87</v>
      </c>
      <c r="DA41">
        <f t="shared" si="8"/>
        <v>1</v>
      </c>
      <c r="DB41">
        <v>0</v>
      </c>
    </row>
    <row r="42" spans="1:106" ht="12.75">
      <c r="A42">
        <f>ROW(Source!A41)</f>
        <v>41</v>
      </c>
      <c r="B42">
        <v>26615678</v>
      </c>
      <c r="C42">
        <v>26616408</v>
      </c>
      <c r="D42">
        <v>25693023</v>
      </c>
      <c r="E42">
        <v>1</v>
      </c>
      <c r="F42">
        <v>1</v>
      </c>
      <c r="G42">
        <v>25674181</v>
      </c>
      <c r="H42">
        <v>3</v>
      </c>
      <c r="I42" t="s">
        <v>83</v>
      </c>
      <c r="J42" t="s">
        <v>86</v>
      </c>
      <c r="K42" t="s">
        <v>84</v>
      </c>
      <c r="L42">
        <v>1327</v>
      </c>
      <c r="N42">
        <v>1013</v>
      </c>
      <c r="O42" t="s">
        <v>85</v>
      </c>
      <c r="P42" t="s">
        <v>85</v>
      </c>
      <c r="Q42">
        <v>1</v>
      </c>
      <c r="W42">
        <v>0</v>
      </c>
      <c r="X42">
        <v>46053762</v>
      </c>
      <c r="Y42">
        <v>100</v>
      </c>
      <c r="AA42">
        <v>810.68</v>
      </c>
      <c r="AB42">
        <v>0</v>
      </c>
      <c r="AC42">
        <v>0</v>
      </c>
      <c r="AD42">
        <v>0</v>
      </c>
      <c r="AE42">
        <v>810.68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T42">
        <v>100</v>
      </c>
      <c r="AV42">
        <v>0</v>
      </c>
      <c r="AW42">
        <v>1</v>
      </c>
      <c r="AX42">
        <v>-1</v>
      </c>
      <c r="AY42">
        <v>0</v>
      </c>
      <c r="AZ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Y42*Source!I41</f>
        <v>20.9</v>
      </c>
      <c r="CY42">
        <f t="shared" si="6"/>
        <v>810.68</v>
      </c>
      <c r="CZ42">
        <f t="shared" si="7"/>
        <v>810.68</v>
      </c>
      <c r="DA42">
        <f t="shared" si="8"/>
        <v>1</v>
      </c>
      <c r="DB42">
        <v>0</v>
      </c>
    </row>
    <row r="43" spans="1:106" ht="12.75">
      <c r="A43">
        <f>ROW(Source!A41)</f>
        <v>41</v>
      </c>
      <c r="B43">
        <v>26615678</v>
      </c>
      <c r="C43">
        <v>26616408</v>
      </c>
      <c r="D43">
        <v>0</v>
      </c>
      <c r="E43">
        <v>0</v>
      </c>
      <c r="F43">
        <v>1</v>
      </c>
      <c r="G43">
        <v>25674181</v>
      </c>
      <c r="H43">
        <v>3</v>
      </c>
      <c r="I43" t="s">
        <v>88</v>
      </c>
      <c r="K43" t="s">
        <v>89</v>
      </c>
      <c r="L43">
        <v>1371</v>
      </c>
      <c r="N43">
        <v>1013</v>
      </c>
      <c r="O43" t="s">
        <v>25</v>
      </c>
      <c r="P43" t="s">
        <v>25</v>
      </c>
      <c r="Q43">
        <v>1</v>
      </c>
      <c r="W43">
        <v>0</v>
      </c>
      <c r="X43">
        <v>-2029574086</v>
      </c>
      <c r="Y43">
        <v>4.784689</v>
      </c>
      <c r="AA43">
        <v>316.95</v>
      </c>
      <c r="AB43">
        <v>0</v>
      </c>
      <c r="AC43">
        <v>0</v>
      </c>
      <c r="AD43">
        <v>0</v>
      </c>
      <c r="AE43">
        <v>316.95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T43">
        <v>4.784689</v>
      </c>
      <c r="AV43">
        <v>0</v>
      </c>
      <c r="AW43">
        <v>1</v>
      </c>
      <c r="AX43">
        <v>-1</v>
      </c>
      <c r="AY43">
        <v>0</v>
      </c>
      <c r="AZ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Y43*Source!I41</f>
        <v>1.000000001</v>
      </c>
      <c r="CY43">
        <f t="shared" si="6"/>
        <v>316.95</v>
      </c>
      <c r="CZ43">
        <f t="shared" si="7"/>
        <v>316.95</v>
      </c>
      <c r="DA43">
        <f t="shared" si="8"/>
        <v>1</v>
      </c>
      <c r="DB43">
        <v>0</v>
      </c>
    </row>
    <row r="44" spans="1:106" ht="12.75">
      <c r="A44">
        <f>ROW(Source!A47)</f>
        <v>47</v>
      </c>
      <c r="B44">
        <v>26615678</v>
      </c>
      <c r="C44">
        <v>26616441</v>
      </c>
      <c r="D44">
        <v>25674184</v>
      </c>
      <c r="E44">
        <v>25674181</v>
      </c>
      <c r="F44">
        <v>1</v>
      </c>
      <c r="G44">
        <v>25674181</v>
      </c>
      <c r="H44">
        <v>1</v>
      </c>
      <c r="I44" t="s">
        <v>291</v>
      </c>
      <c r="K44" t="s">
        <v>292</v>
      </c>
      <c r="L44">
        <v>1191</v>
      </c>
      <c r="N44">
        <v>1013</v>
      </c>
      <c r="O44" t="s">
        <v>293</v>
      </c>
      <c r="P44" t="s">
        <v>293</v>
      </c>
      <c r="Q44">
        <v>1</v>
      </c>
      <c r="W44">
        <v>0</v>
      </c>
      <c r="X44">
        <v>476480486</v>
      </c>
      <c r="Y44">
        <v>162.15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162.15</v>
      </c>
      <c r="AV44">
        <v>1</v>
      </c>
      <c r="AW44">
        <v>2</v>
      </c>
      <c r="AX44">
        <v>26616442</v>
      </c>
      <c r="AY44">
        <v>1</v>
      </c>
      <c r="AZ44">
        <v>0</v>
      </c>
      <c r="BA44">
        <v>40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Y44*Source!I47</f>
        <v>102.1545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ht="12.75">
      <c r="A45">
        <f>ROW(Source!A47)</f>
        <v>47</v>
      </c>
      <c r="B45">
        <v>26615678</v>
      </c>
      <c r="C45">
        <v>26616441</v>
      </c>
      <c r="D45">
        <v>25685390</v>
      </c>
      <c r="E45">
        <v>1</v>
      </c>
      <c r="F45">
        <v>1</v>
      </c>
      <c r="G45">
        <v>25674181</v>
      </c>
      <c r="H45">
        <v>2</v>
      </c>
      <c r="I45" t="s">
        <v>297</v>
      </c>
      <c r="J45" t="s">
        <v>298</v>
      </c>
      <c r="K45" t="s">
        <v>299</v>
      </c>
      <c r="L45">
        <v>1368</v>
      </c>
      <c r="N45">
        <v>1011</v>
      </c>
      <c r="O45" t="s">
        <v>300</v>
      </c>
      <c r="P45" t="s">
        <v>300</v>
      </c>
      <c r="Q45">
        <v>1</v>
      </c>
      <c r="W45">
        <v>0</v>
      </c>
      <c r="X45">
        <v>144256025</v>
      </c>
      <c r="Y45">
        <v>1.75</v>
      </c>
      <c r="AA45">
        <v>0</v>
      </c>
      <c r="AB45">
        <v>32.82</v>
      </c>
      <c r="AC45">
        <v>6.85</v>
      </c>
      <c r="AD45">
        <v>0</v>
      </c>
      <c r="AE45">
        <v>0</v>
      </c>
      <c r="AF45">
        <v>32.82</v>
      </c>
      <c r="AG45">
        <v>6.85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1.75</v>
      </c>
      <c r="AV45">
        <v>0</v>
      </c>
      <c r="AW45">
        <v>2</v>
      </c>
      <c r="AX45">
        <v>26616443</v>
      </c>
      <c r="AY45">
        <v>1</v>
      </c>
      <c r="AZ45">
        <v>0</v>
      </c>
      <c r="BA45">
        <v>41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Y45*Source!I47</f>
        <v>1.1025</v>
      </c>
      <c r="CY45">
        <f>AB45</f>
        <v>32.82</v>
      </c>
      <c r="CZ45">
        <f>AF45</f>
        <v>32.82</v>
      </c>
      <c r="DA45">
        <f>AJ45</f>
        <v>1</v>
      </c>
      <c r="DB45">
        <v>0</v>
      </c>
    </row>
    <row r="46" spans="1:106" ht="12.75">
      <c r="A46">
        <f>ROW(Source!A47)</f>
        <v>47</v>
      </c>
      <c r="B46">
        <v>26615678</v>
      </c>
      <c r="C46">
        <v>26616441</v>
      </c>
      <c r="D46">
        <v>25685711</v>
      </c>
      <c r="E46">
        <v>1</v>
      </c>
      <c r="F46">
        <v>1</v>
      </c>
      <c r="G46">
        <v>25674181</v>
      </c>
      <c r="H46">
        <v>2</v>
      </c>
      <c r="I46" t="s">
        <v>341</v>
      </c>
      <c r="J46" t="s">
        <v>342</v>
      </c>
      <c r="K46" t="s">
        <v>343</v>
      </c>
      <c r="L46">
        <v>1368</v>
      </c>
      <c r="N46">
        <v>1011</v>
      </c>
      <c r="O46" t="s">
        <v>300</v>
      </c>
      <c r="P46" t="s">
        <v>300</v>
      </c>
      <c r="Q46">
        <v>1</v>
      </c>
      <c r="W46">
        <v>0</v>
      </c>
      <c r="X46">
        <v>1066648727</v>
      </c>
      <c r="Y46">
        <v>0.42</v>
      </c>
      <c r="AA46">
        <v>0</v>
      </c>
      <c r="AB46">
        <v>28.36</v>
      </c>
      <c r="AC46">
        <v>9.49</v>
      </c>
      <c r="AD46">
        <v>0</v>
      </c>
      <c r="AE46">
        <v>0</v>
      </c>
      <c r="AF46">
        <v>28.36</v>
      </c>
      <c r="AG46">
        <v>9.49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0.42</v>
      </c>
      <c r="AV46">
        <v>0</v>
      </c>
      <c r="AW46">
        <v>2</v>
      </c>
      <c r="AX46">
        <v>26616444</v>
      </c>
      <c r="AY46">
        <v>1</v>
      </c>
      <c r="AZ46">
        <v>0</v>
      </c>
      <c r="BA46">
        <v>42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Y46*Source!I47</f>
        <v>0.2646</v>
      </c>
      <c r="CY46">
        <f>AB46</f>
        <v>28.36</v>
      </c>
      <c r="CZ46">
        <f>AF46</f>
        <v>28.36</v>
      </c>
      <c r="DA46">
        <f>AJ46</f>
        <v>1</v>
      </c>
      <c r="DB46">
        <v>0</v>
      </c>
    </row>
    <row r="47" spans="1:106" ht="12.75">
      <c r="A47">
        <f>ROW(Source!A47)</f>
        <v>47</v>
      </c>
      <c r="B47">
        <v>26615678</v>
      </c>
      <c r="C47">
        <v>26616441</v>
      </c>
      <c r="D47">
        <v>25686794</v>
      </c>
      <c r="E47">
        <v>1</v>
      </c>
      <c r="F47">
        <v>1</v>
      </c>
      <c r="G47">
        <v>25674181</v>
      </c>
      <c r="H47">
        <v>3</v>
      </c>
      <c r="I47" t="s">
        <v>314</v>
      </c>
      <c r="J47" t="s">
        <v>315</v>
      </c>
      <c r="K47" t="s">
        <v>316</v>
      </c>
      <c r="L47">
        <v>1348</v>
      </c>
      <c r="N47">
        <v>1013</v>
      </c>
      <c r="O47" t="s">
        <v>67</v>
      </c>
      <c r="P47" t="s">
        <v>67</v>
      </c>
      <c r="Q47">
        <v>1</v>
      </c>
      <c r="W47">
        <v>0</v>
      </c>
      <c r="X47">
        <v>-441702737</v>
      </c>
      <c r="Y47">
        <v>0.015</v>
      </c>
      <c r="AA47">
        <v>85160.23</v>
      </c>
      <c r="AB47">
        <v>0</v>
      </c>
      <c r="AC47">
        <v>0</v>
      </c>
      <c r="AD47">
        <v>0</v>
      </c>
      <c r="AE47">
        <v>85160.23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0.015</v>
      </c>
      <c r="AV47">
        <v>0</v>
      </c>
      <c r="AW47">
        <v>2</v>
      </c>
      <c r="AX47">
        <v>26616446</v>
      </c>
      <c r="AY47">
        <v>1</v>
      </c>
      <c r="AZ47">
        <v>0</v>
      </c>
      <c r="BA47">
        <v>43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Y47*Source!I47</f>
        <v>0.00945</v>
      </c>
      <c r="CY47">
        <f aca="true" t="shared" si="9" ref="CY47:CY54">AA47</f>
        <v>85160.23</v>
      </c>
      <c r="CZ47">
        <f aca="true" t="shared" si="10" ref="CZ47:CZ54">AE47</f>
        <v>85160.23</v>
      </c>
      <c r="DA47">
        <f aca="true" t="shared" si="11" ref="DA47:DA54">AI47</f>
        <v>1</v>
      </c>
      <c r="DB47">
        <v>0</v>
      </c>
    </row>
    <row r="48" spans="1:106" ht="12.75">
      <c r="A48">
        <f>ROW(Source!A47)</f>
        <v>47</v>
      </c>
      <c r="B48">
        <v>26615678</v>
      </c>
      <c r="C48">
        <v>26616441</v>
      </c>
      <c r="D48">
        <v>25685895</v>
      </c>
      <c r="E48">
        <v>1</v>
      </c>
      <c r="F48">
        <v>1</v>
      </c>
      <c r="G48">
        <v>25674181</v>
      </c>
      <c r="H48">
        <v>3</v>
      </c>
      <c r="I48" t="s">
        <v>344</v>
      </c>
      <c r="J48" t="s">
        <v>345</v>
      </c>
      <c r="K48" t="s">
        <v>346</v>
      </c>
      <c r="L48">
        <v>1348</v>
      </c>
      <c r="N48">
        <v>1013</v>
      </c>
      <c r="O48" t="s">
        <v>67</v>
      </c>
      <c r="P48" t="s">
        <v>67</v>
      </c>
      <c r="Q48">
        <v>1</v>
      </c>
      <c r="W48">
        <v>0</v>
      </c>
      <c r="X48">
        <v>1577982966</v>
      </c>
      <c r="Y48">
        <v>0.00501</v>
      </c>
      <c r="AA48">
        <v>18733.8</v>
      </c>
      <c r="AB48">
        <v>0</v>
      </c>
      <c r="AC48">
        <v>0</v>
      </c>
      <c r="AD48">
        <v>0</v>
      </c>
      <c r="AE48">
        <v>18733.8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0.00501</v>
      </c>
      <c r="AV48">
        <v>0</v>
      </c>
      <c r="AW48">
        <v>2</v>
      </c>
      <c r="AX48">
        <v>26616445</v>
      </c>
      <c r="AY48">
        <v>1</v>
      </c>
      <c r="AZ48">
        <v>0</v>
      </c>
      <c r="BA48">
        <v>44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Y48*Source!I47</f>
        <v>0.0031563</v>
      </c>
      <c r="CY48">
        <f t="shared" si="9"/>
        <v>18733.8</v>
      </c>
      <c r="CZ48">
        <f t="shared" si="10"/>
        <v>18733.8</v>
      </c>
      <c r="DA48">
        <f t="shared" si="11"/>
        <v>1</v>
      </c>
      <c r="DB48">
        <v>0</v>
      </c>
    </row>
    <row r="49" spans="1:106" ht="12.75">
      <c r="A49">
        <f>ROW(Source!A47)</f>
        <v>47</v>
      </c>
      <c r="B49">
        <v>26615678</v>
      </c>
      <c r="C49">
        <v>26616441</v>
      </c>
      <c r="D49">
        <v>25687630</v>
      </c>
      <c r="E49">
        <v>1</v>
      </c>
      <c r="F49">
        <v>1</v>
      </c>
      <c r="G49">
        <v>25674181</v>
      </c>
      <c r="H49">
        <v>3</v>
      </c>
      <c r="I49" t="s">
        <v>304</v>
      </c>
      <c r="J49" t="s">
        <v>305</v>
      </c>
      <c r="K49" t="s">
        <v>306</v>
      </c>
      <c r="L49">
        <v>1348</v>
      </c>
      <c r="N49">
        <v>1013</v>
      </c>
      <c r="O49" t="s">
        <v>67</v>
      </c>
      <c r="P49" t="s">
        <v>67</v>
      </c>
      <c r="Q49">
        <v>1</v>
      </c>
      <c r="W49">
        <v>0</v>
      </c>
      <c r="X49">
        <v>-1544492133</v>
      </c>
      <c r="Y49">
        <v>0.00041</v>
      </c>
      <c r="AA49">
        <v>109898.69</v>
      </c>
      <c r="AB49">
        <v>0</v>
      </c>
      <c r="AC49">
        <v>0</v>
      </c>
      <c r="AD49">
        <v>0</v>
      </c>
      <c r="AE49">
        <v>109898.69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0.00041</v>
      </c>
      <c r="AV49">
        <v>0</v>
      </c>
      <c r="AW49">
        <v>2</v>
      </c>
      <c r="AX49">
        <v>26616447</v>
      </c>
      <c r="AY49">
        <v>1</v>
      </c>
      <c r="AZ49">
        <v>0</v>
      </c>
      <c r="BA49">
        <v>45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Y49*Source!I47</f>
        <v>0.0002583</v>
      </c>
      <c r="CY49">
        <f t="shared" si="9"/>
        <v>109898.69</v>
      </c>
      <c r="CZ49">
        <f t="shared" si="10"/>
        <v>109898.69</v>
      </c>
      <c r="DA49">
        <f t="shared" si="11"/>
        <v>1</v>
      </c>
      <c r="DB49">
        <v>0</v>
      </c>
    </row>
    <row r="50" spans="1:106" ht="12.75">
      <c r="A50">
        <f>ROW(Source!A47)</f>
        <v>47</v>
      </c>
      <c r="B50">
        <v>26615678</v>
      </c>
      <c r="C50">
        <v>26616441</v>
      </c>
      <c r="D50">
        <v>25687974</v>
      </c>
      <c r="E50">
        <v>1</v>
      </c>
      <c r="F50">
        <v>1</v>
      </c>
      <c r="G50">
        <v>25674181</v>
      </c>
      <c r="H50">
        <v>3</v>
      </c>
      <c r="I50" t="s">
        <v>320</v>
      </c>
      <c r="J50" t="s">
        <v>321</v>
      </c>
      <c r="K50" t="s">
        <v>322</v>
      </c>
      <c r="L50">
        <v>1348</v>
      </c>
      <c r="N50">
        <v>1013</v>
      </c>
      <c r="O50" t="s">
        <v>67</v>
      </c>
      <c r="P50" t="s">
        <v>67</v>
      </c>
      <c r="Q50">
        <v>1</v>
      </c>
      <c r="W50">
        <v>0</v>
      </c>
      <c r="X50">
        <v>218864245</v>
      </c>
      <c r="Y50">
        <v>0.008</v>
      </c>
      <c r="AA50">
        <v>142669.85</v>
      </c>
      <c r="AB50">
        <v>0</v>
      </c>
      <c r="AC50">
        <v>0</v>
      </c>
      <c r="AD50">
        <v>0</v>
      </c>
      <c r="AE50">
        <v>142669.85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0.008</v>
      </c>
      <c r="AV50">
        <v>0</v>
      </c>
      <c r="AW50">
        <v>2</v>
      </c>
      <c r="AX50">
        <v>26616448</v>
      </c>
      <c r="AY50">
        <v>1</v>
      </c>
      <c r="AZ50">
        <v>0</v>
      </c>
      <c r="BA50">
        <v>46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Y50*Source!I47</f>
        <v>0.00504</v>
      </c>
      <c r="CY50">
        <f t="shared" si="9"/>
        <v>142669.85</v>
      </c>
      <c r="CZ50">
        <f t="shared" si="10"/>
        <v>142669.85</v>
      </c>
      <c r="DA50">
        <f t="shared" si="11"/>
        <v>1</v>
      </c>
      <c r="DB50">
        <v>0</v>
      </c>
    </row>
    <row r="51" spans="1:106" ht="12.75">
      <c r="A51">
        <f>ROW(Source!A47)</f>
        <v>47</v>
      </c>
      <c r="B51">
        <v>26615678</v>
      </c>
      <c r="C51">
        <v>26616441</v>
      </c>
      <c r="D51">
        <v>25688067</v>
      </c>
      <c r="E51">
        <v>1</v>
      </c>
      <c r="F51">
        <v>1</v>
      </c>
      <c r="G51">
        <v>25674181</v>
      </c>
      <c r="H51">
        <v>3</v>
      </c>
      <c r="I51" t="s">
        <v>347</v>
      </c>
      <c r="J51" t="s">
        <v>348</v>
      </c>
      <c r="K51" t="s">
        <v>349</v>
      </c>
      <c r="L51">
        <v>1348</v>
      </c>
      <c r="N51">
        <v>1013</v>
      </c>
      <c r="O51" t="s">
        <v>67</v>
      </c>
      <c r="P51" t="s">
        <v>67</v>
      </c>
      <c r="Q51">
        <v>1</v>
      </c>
      <c r="W51">
        <v>0</v>
      </c>
      <c r="X51">
        <v>-602459445</v>
      </c>
      <c r="Y51">
        <v>0.00089</v>
      </c>
      <c r="AA51">
        <v>165838.61</v>
      </c>
      <c r="AB51">
        <v>0</v>
      </c>
      <c r="AC51">
        <v>0</v>
      </c>
      <c r="AD51">
        <v>0</v>
      </c>
      <c r="AE51">
        <v>165838.61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0.00089</v>
      </c>
      <c r="AV51">
        <v>0</v>
      </c>
      <c r="AW51">
        <v>2</v>
      </c>
      <c r="AX51">
        <v>26616449</v>
      </c>
      <c r="AY51">
        <v>1</v>
      </c>
      <c r="AZ51">
        <v>0</v>
      </c>
      <c r="BA51">
        <v>47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Y51*Source!I47</f>
        <v>0.0005607</v>
      </c>
      <c r="CY51">
        <f t="shared" si="9"/>
        <v>165838.61</v>
      </c>
      <c r="CZ51">
        <f t="shared" si="10"/>
        <v>165838.61</v>
      </c>
      <c r="DA51">
        <f t="shared" si="11"/>
        <v>1</v>
      </c>
      <c r="DB51">
        <v>0</v>
      </c>
    </row>
    <row r="52" spans="1:106" ht="12.75">
      <c r="A52">
        <f>ROW(Source!A47)</f>
        <v>47</v>
      </c>
      <c r="B52">
        <v>26615678</v>
      </c>
      <c r="C52">
        <v>26616441</v>
      </c>
      <c r="D52">
        <v>25693327</v>
      </c>
      <c r="E52">
        <v>1</v>
      </c>
      <c r="F52">
        <v>1</v>
      </c>
      <c r="G52">
        <v>25674181</v>
      </c>
      <c r="H52">
        <v>3</v>
      </c>
      <c r="I52" t="s">
        <v>104</v>
      </c>
      <c r="J52" t="s">
        <v>106</v>
      </c>
      <c r="K52" t="s">
        <v>105</v>
      </c>
      <c r="L52">
        <v>1354</v>
      </c>
      <c r="N52">
        <v>1013</v>
      </c>
      <c r="O52" t="s">
        <v>17</v>
      </c>
      <c r="P52" t="s">
        <v>17</v>
      </c>
      <c r="Q52">
        <v>1</v>
      </c>
      <c r="W52">
        <v>0</v>
      </c>
      <c r="X52">
        <v>1841461382</v>
      </c>
      <c r="Y52">
        <v>9.52381</v>
      </c>
      <c r="AA52">
        <v>1422.48</v>
      </c>
      <c r="AB52">
        <v>0</v>
      </c>
      <c r="AC52">
        <v>0</v>
      </c>
      <c r="AD52">
        <v>0</v>
      </c>
      <c r="AE52">
        <v>1422.48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T52">
        <v>9.52381</v>
      </c>
      <c r="AV52">
        <v>0</v>
      </c>
      <c r="AW52">
        <v>1</v>
      </c>
      <c r="AX52">
        <v>-1</v>
      </c>
      <c r="AY52">
        <v>0</v>
      </c>
      <c r="AZ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Y52*Source!I47</f>
        <v>6.0000003</v>
      </c>
      <c r="CY52">
        <f t="shared" si="9"/>
        <v>1422.48</v>
      </c>
      <c r="CZ52">
        <f t="shared" si="10"/>
        <v>1422.48</v>
      </c>
      <c r="DA52">
        <f t="shared" si="11"/>
        <v>1</v>
      </c>
      <c r="DB52">
        <v>0</v>
      </c>
    </row>
    <row r="53" spans="1:106" ht="12.75">
      <c r="A53">
        <f>ROW(Source!A47)</f>
        <v>47</v>
      </c>
      <c r="B53">
        <v>26615678</v>
      </c>
      <c r="C53">
        <v>26616441</v>
      </c>
      <c r="D53">
        <v>25693019</v>
      </c>
      <c r="E53">
        <v>1</v>
      </c>
      <c r="F53">
        <v>1</v>
      </c>
      <c r="G53">
        <v>25674181</v>
      </c>
      <c r="H53">
        <v>3</v>
      </c>
      <c r="I53" t="s">
        <v>108</v>
      </c>
      <c r="J53" t="s">
        <v>110</v>
      </c>
      <c r="K53" t="s">
        <v>109</v>
      </c>
      <c r="L53">
        <v>1327</v>
      </c>
      <c r="N53">
        <v>1013</v>
      </c>
      <c r="O53" t="s">
        <v>85</v>
      </c>
      <c r="P53" t="s">
        <v>85</v>
      </c>
      <c r="Q53">
        <v>1</v>
      </c>
      <c r="W53">
        <v>0</v>
      </c>
      <c r="X53">
        <v>1654362007</v>
      </c>
      <c r="Y53">
        <v>100</v>
      </c>
      <c r="AA53">
        <v>788.47</v>
      </c>
      <c r="AB53">
        <v>0</v>
      </c>
      <c r="AC53">
        <v>0</v>
      </c>
      <c r="AD53">
        <v>0</v>
      </c>
      <c r="AE53">
        <v>788.47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100</v>
      </c>
      <c r="AV53">
        <v>0</v>
      </c>
      <c r="AW53">
        <v>1</v>
      </c>
      <c r="AX53">
        <v>-1</v>
      </c>
      <c r="AY53">
        <v>0</v>
      </c>
      <c r="AZ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Y53*Source!I47</f>
        <v>63</v>
      </c>
      <c r="CY53">
        <f t="shared" si="9"/>
        <v>788.47</v>
      </c>
      <c r="CZ53">
        <f t="shared" si="10"/>
        <v>788.47</v>
      </c>
      <c r="DA53">
        <f t="shared" si="11"/>
        <v>1</v>
      </c>
      <c r="DB53">
        <v>0</v>
      </c>
    </row>
    <row r="54" spans="1:106" ht="12.75">
      <c r="A54">
        <f>ROW(Source!A47)</f>
        <v>47</v>
      </c>
      <c r="B54">
        <v>26615678</v>
      </c>
      <c r="C54">
        <v>26616441</v>
      </c>
      <c r="D54">
        <v>0</v>
      </c>
      <c r="E54">
        <v>25674181</v>
      </c>
      <c r="F54">
        <v>1</v>
      </c>
      <c r="G54">
        <v>25674181</v>
      </c>
      <c r="H54">
        <v>3</v>
      </c>
      <c r="I54" t="s">
        <v>88</v>
      </c>
      <c r="K54" t="s">
        <v>89</v>
      </c>
      <c r="L54">
        <v>1371</v>
      </c>
      <c r="N54">
        <v>1013</v>
      </c>
      <c r="O54" t="s">
        <v>25</v>
      </c>
      <c r="P54" t="s">
        <v>25</v>
      </c>
      <c r="Q54">
        <v>1</v>
      </c>
      <c r="W54">
        <v>0</v>
      </c>
      <c r="X54">
        <v>-2029574086</v>
      </c>
      <c r="Y54">
        <v>3.174603</v>
      </c>
      <c r="AA54">
        <v>316.95</v>
      </c>
      <c r="AB54">
        <v>0</v>
      </c>
      <c r="AC54">
        <v>0</v>
      </c>
      <c r="AD54">
        <v>0</v>
      </c>
      <c r="AE54">
        <v>316.95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T54">
        <v>3.174603</v>
      </c>
      <c r="AV54">
        <v>0</v>
      </c>
      <c r="AW54">
        <v>1</v>
      </c>
      <c r="AX54">
        <v>-1</v>
      </c>
      <c r="AY54">
        <v>0</v>
      </c>
      <c r="AZ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Y54*Source!I47</f>
        <v>1.99999989</v>
      </c>
      <c r="CY54">
        <f t="shared" si="9"/>
        <v>316.95</v>
      </c>
      <c r="CZ54">
        <f t="shared" si="10"/>
        <v>316.95</v>
      </c>
      <c r="DA54">
        <f t="shared" si="11"/>
        <v>1</v>
      </c>
      <c r="DB54">
        <v>0</v>
      </c>
    </row>
    <row r="55" spans="1:106" ht="12.75">
      <c r="A55">
        <f>ROW(Source!A51)</f>
        <v>51</v>
      </c>
      <c r="B55">
        <v>26615678</v>
      </c>
      <c r="C55">
        <v>26616468</v>
      </c>
      <c r="D55">
        <v>25674184</v>
      </c>
      <c r="E55">
        <v>25674181</v>
      </c>
      <c r="F55">
        <v>1</v>
      </c>
      <c r="G55">
        <v>25674181</v>
      </c>
      <c r="H55">
        <v>1</v>
      </c>
      <c r="I55" t="s">
        <v>291</v>
      </c>
      <c r="K55" t="s">
        <v>292</v>
      </c>
      <c r="L55">
        <v>1191</v>
      </c>
      <c r="N55">
        <v>1013</v>
      </c>
      <c r="O55" t="s">
        <v>293</v>
      </c>
      <c r="P55" t="s">
        <v>293</v>
      </c>
      <c r="Q55">
        <v>1</v>
      </c>
      <c r="W55">
        <v>0</v>
      </c>
      <c r="X55">
        <v>476480486</v>
      </c>
      <c r="Y55">
        <v>148.35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148.35</v>
      </c>
      <c r="AV55">
        <v>1</v>
      </c>
      <c r="AW55">
        <v>2</v>
      </c>
      <c r="AX55">
        <v>26616469</v>
      </c>
      <c r="AY55">
        <v>1</v>
      </c>
      <c r="AZ55">
        <v>0</v>
      </c>
      <c r="BA55">
        <v>54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Y55*Source!I51</f>
        <v>25.812899999999996</v>
      </c>
      <c r="CY55">
        <f>AD55</f>
        <v>0</v>
      </c>
      <c r="CZ55">
        <f>AH55</f>
        <v>0</v>
      </c>
      <c r="DA55">
        <f>AL55</f>
        <v>1</v>
      </c>
      <c r="DB55">
        <v>0</v>
      </c>
    </row>
    <row r="56" spans="1:106" ht="12.75">
      <c r="A56">
        <f>ROW(Source!A51)</f>
        <v>51</v>
      </c>
      <c r="B56">
        <v>26615678</v>
      </c>
      <c r="C56">
        <v>26616468</v>
      </c>
      <c r="D56">
        <v>25685390</v>
      </c>
      <c r="E56">
        <v>1</v>
      </c>
      <c r="F56">
        <v>1</v>
      </c>
      <c r="G56">
        <v>25674181</v>
      </c>
      <c r="H56">
        <v>2</v>
      </c>
      <c r="I56" t="s">
        <v>297</v>
      </c>
      <c r="J56" t="s">
        <v>298</v>
      </c>
      <c r="K56" t="s">
        <v>299</v>
      </c>
      <c r="L56">
        <v>1368</v>
      </c>
      <c r="N56">
        <v>1011</v>
      </c>
      <c r="O56" t="s">
        <v>300</v>
      </c>
      <c r="P56" t="s">
        <v>300</v>
      </c>
      <c r="Q56">
        <v>1</v>
      </c>
      <c r="W56">
        <v>0</v>
      </c>
      <c r="X56">
        <v>144256025</v>
      </c>
      <c r="Y56">
        <v>1.41</v>
      </c>
      <c r="AA56">
        <v>0</v>
      </c>
      <c r="AB56">
        <v>32.82</v>
      </c>
      <c r="AC56">
        <v>6.85</v>
      </c>
      <c r="AD56">
        <v>0</v>
      </c>
      <c r="AE56">
        <v>0</v>
      </c>
      <c r="AF56">
        <v>32.82</v>
      </c>
      <c r="AG56">
        <v>6.85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1.41</v>
      </c>
      <c r="AV56">
        <v>0</v>
      </c>
      <c r="AW56">
        <v>2</v>
      </c>
      <c r="AX56">
        <v>26616470</v>
      </c>
      <c r="AY56">
        <v>1</v>
      </c>
      <c r="AZ56">
        <v>0</v>
      </c>
      <c r="BA56">
        <v>55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Y56*Source!I51</f>
        <v>0.24533999999999997</v>
      </c>
      <c r="CY56">
        <f>AB56</f>
        <v>32.82</v>
      </c>
      <c r="CZ56">
        <f>AF56</f>
        <v>32.82</v>
      </c>
      <c r="DA56">
        <f>AJ56</f>
        <v>1</v>
      </c>
      <c r="DB56">
        <v>0</v>
      </c>
    </row>
    <row r="57" spans="1:106" ht="12.75">
      <c r="A57">
        <f>ROW(Source!A51)</f>
        <v>51</v>
      </c>
      <c r="B57">
        <v>26615678</v>
      </c>
      <c r="C57">
        <v>26616468</v>
      </c>
      <c r="D57">
        <v>25685711</v>
      </c>
      <c r="E57">
        <v>1</v>
      </c>
      <c r="F57">
        <v>1</v>
      </c>
      <c r="G57">
        <v>25674181</v>
      </c>
      <c r="H57">
        <v>2</v>
      </c>
      <c r="I57" t="s">
        <v>341</v>
      </c>
      <c r="J57" t="s">
        <v>342</v>
      </c>
      <c r="K57" t="s">
        <v>343</v>
      </c>
      <c r="L57">
        <v>1368</v>
      </c>
      <c r="N57">
        <v>1011</v>
      </c>
      <c r="O57" t="s">
        <v>300</v>
      </c>
      <c r="P57" t="s">
        <v>300</v>
      </c>
      <c r="Q57">
        <v>1</v>
      </c>
      <c r="W57">
        <v>0</v>
      </c>
      <c r="X57">
        <v>1066648727</v>
      </c>
      <c r="Y57">
        <v>0.21</v>
      </c>
      <c r="AA57">
        <v>0</v>
      </c>
      <c r="AB57">
        <v>28.36</v>
      </c>
      <c r="AC57">
        <v>9.49</v>
      </c>
      <c r="AD57">
        <v>0</v>
      </c>
      <c r="AE57">
        <v>0</v>
      </c>
      <c r="AF57">
        <v>28.36</v>
      </c>
      <c r="AG57">
        <v>9.49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0.21</v>
      </c>
      <c r="AV57">
        <v>0</v>
      </c>
      <c r="AW57">
        <v>2</v>
      </c>
      <c r="AX57">
        <v>26616471</v>
      </c>
      <c r="AY57">
        <v>1</v>
      </c>
      <c r="AZ57">
        <v>0</v>
      </c>
      <c r="BA57">
        <v>56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Y57*Source!I51</f>
        <v>0.036539999999999996</v>
      </c>
      <c r="CY57">
        <f>AB57</f>
        <v>28.36</v>
      </c>
      <c r="CZ57">
        <f>AF57</f>
        <v>28.36</v>
      </c>
      <c r="DA57">
        <f>AJ57</f>
        <v>1</v>
      </c>
      <c r="DB57">
        <v>0</v>
      </c>
    </row>
    <row r="58" spans="1:106" ht="12.75">
      <c r="A58">
        <f>ROW(Source!A51)</f>
        <v>51</v>
      </c>
      <c r="B58">
        <v>26615678</v>
      </c>
      <c r="C58">
        <v>26616468</v>
      </c>
      <c r="D58">
        <v>25686794</v>
      </c>
      <c r="E58">
        <v>1</v>
      </c>
      <c r="F58">
        <v>1</v>
      </c>
      <c r="G58">
        <v>25674181</v>
      </c>
      <c r="H58">
        <v>3</v>
      </c>
      <c r="I58" t="s">
        <v>314</v>
      </c>
      <c r="J58" t="s">
        <v>315</v>
      </c>
      <c r="K58" t="s">
        <v>316</v>
      </c>
      <c r="L58">
        <v>1348</v>
      </c>
      <c r="N58">
        <v>1013</v>
      </c>
      <c r="O58" t="s">
        <v>67</v>
      </c>
      <c r="P58" t="s">
        <v>67</v>
      </c>
      <c r="Q58">
        <v>1</v>
      </c>
      <c r="W58">
        <v>0</v>
      </c>
      <c r="X58">
        <v>-441702737</v>
      </c>
      <c r="Y58">
        <v>0.008</v>
      </c>
      <c r="AA58">
        <v>85160.23</v>
      </c>
      <c r="AB58">
        <v>0</v>
      </c>
      <c r="AC58">
        <v>0</v>
      </c>
      <c r="AD58">
        <v>0</v>
      </c>
      <c r="AE58">
        <v>85160.23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0.008</v>
      </c>
      <c r="AV58">
        <v>0</v>
      </c>
      <c r="AW58">
        <v>2</v>
      </c>
      <c r="AX58">
        <v>26616473</v>
      </c>
      <c r="AY58">
        <v>1</v>
      </c>
      <c r="AZ58">
        <v>0</v>
      </c>
      <c r="BA58">
        <v>57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Y58*Source!I51</f>
        <v>0.001392</v>
      </c>
      <c r="CY58">
        <f aca="true" t="shared" si="12" ref="CY58:CY65">AA58</f>
        <v>85160.23</v>
      </c>
      <c r="CZ58">
        <f aca="true" t="shared" si="13" ref="CZ58:CZ65">AE58</f>
        <v>85160.23</v>
      </c>
      <c r="DA58">
        <f aca="true" t="shared" si="14" ref="DA58:DA65">AI58</f>
        <v>1</v>
      </c>
      <c r="DB58">
        <v>0</v>
      </c>
    </row>
    <row r="59" spans="1:106" ht="12.75">
      <c r="A59">
        <f>ROW(Source!A51)</f>
        <v>51</v>
      </c>
      <c r="B59">
        <v>26615678</v>
      </c>
      <c r="C59">
        <v>26616468</v>
      </c>
      <c r="D59">
        <v>25685895</v>
      </c>
      <c r="E59">
        <v>1</v>
      </c>
      <c r="F59">
        <v>1</v>
      </c>
      <c r="G59">
        <v>25674181</v>
      </c>
      <c r="H59">
        <v>3</v>
      </c>
      <c r="I59" t="s">
        <v>344</v>
      </c>
      <c r="J59" t="s">
        <v>345</v>
      </c>
      <c r="K59" t="s">
        <v>346</v>
      </c>
      <c r="L59">
        <v>1348</v>
      </c>
      <c r="N59">
        <v>1013</v>
      </c>
      <c r="O59" t="s">
        <v>67</v>
      </c>
      <c r="P59" t="s">
        <v>67</v>
      </c>
      <c r="Q59">
        <v>1</v>
      </c>
      <c r="W59">
        <v>0</v>
      </c>
      <c r="X59">
        <v>1577982966</v>
      </c>
      <c r="Y59">
        <v>0.00269</v>
      </c>
      <c r="AA59">
        <v>18733.8</v>
      </c>
      <c r="AB59">
        <v>0</v>
      </c>
      <c r="AC59">
        <v>0</v>
      </c>
      <c r="AD59">
        <v>0</v>
      </c>
      <c r="AE59">
        <v>18733.8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0.00269</v>
      </c>
      <c r="AV59">
        <v>0</v>
      </c>
      <c r="AW59">
        <v>2</v>
      </c>
      <c r="AX59">
        <v>26616472</v>
      </c>
      <c r="AY59">
        <v>1</v>
      </c>
      <c r="AZ59">
        <v>0</v>
      </c>
      <c r="BA59">
        <v>58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Y59*Source!I51</f>
        <v>0.00046806</v>
      </c>
      <c r="CY59">
        <f t="shared" si="12"/>
        <v>18733.8</v>
      </c>
      <c r="CZ59">
        <f t="shared" si="13"/>
        <v>18733.8</v>
      </c>
      <c r="DA59">
        <f t="shared" si="14"/>
        <v>1</v>
      </c>
      <c r="DB59">
        <v>0</v>
      </c>
    </row>
    <row r="60" spans="1:106" ht="12.75">
      <c r="A60">
        <f>ROW(Source!A51)</f>
        <v>51</v>
      </c>
      <c r="B60">
        <v>26615678</v>
      </c>
      <c r="C60">
        <v>26616468</v>
      </c>
      <c r="D60">
        <v>25687630</v>
      </c>
      <c r="E60">
        <v>1</v>
      </c>
      <c r="F60">
        <v>1</v>
      </c>
      <c r="G60">
        <v>25674181</v>
      </c>
      <c r="H60">
        <v>3</v>
      </c>
      <c r="I60" t="s">
        <v>304</v>
      </c>
      <c r="J60" t="s">
        <v>305</v>
      </c>
      <c r="K60" t="s">
        <v>306</v>
      </c>
      <c r="L60">
        <v>1348</v>
      </c>
      <c r="N60">
        <v>1013</v>
      </c>
      <c r="O60" t="s">
        <v>67</v>
      </c>
      <c r="P60" t="s">
        <v>67</v>
      </c>
      <c r="Q60">
        <v>1</v>
      </c>
      <c r="W60">
        <v>0</v>
      </c>
      <c r="X60">
        <v>-1544492133</v>
      </c>
      <c r="Y60">
        <v>0.00033</v>
      </c>
      <c r="AA60">
        <v>109898.69</v>
      </c>
      <c r="AB60">
        <v>0</v>
      </c>
      <c r="AC60">
        <v>0</v>
      </c>
      <c r="AD60">
        <v>0</v>
      </c>
      <c r="AE60">
        <v>109898.69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0.00033</v>
      </c>
      <c r="AV60">
        <v>0</v>
      </c>
      <c r="AW60">
        <v>2</v>
      </c>
      <c r="AX60">
        <v>26616474</v>
      </c>
      <c r="AY60">
        <v>1</v>
      </c>
      <c r="AZ60">
        <v>0</v>
      </c>
      <c r="BA60">
        <v>59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Y60*Source!I51</f>
        <v>5.7419999999999996E-05</v>
      </c>
      <c r="CY60">
        <f t="shared" si="12"/>
        <v>109898.69</v>
      </c>
      <c r="CZ60">
        <f t="shared" si="13"/>
        <v>109898.69</v>
      </c>
      <c r="DA60">
        <f t="shared" si="14"/>
        <v>1</v>
      </c>
      <c r="DB60">
        <v>0</v>
      </c>
    </row>
    <row r="61" spans="1:106" ht="12.75">
      <c r="A61">
        <f>ROW(Source!A51)</f>
        <v>51</v>
      </c>
      <c r="B61">
        <v>26615678</v>
      </c>
      <c r="C61">
        <v>26616468</v>
      </c>
      <c r="D61">
        <v>25687974</v>
      </c>
      <c r="E61">
        <v>1</v>
      </c>
      <c r="F61">
        <v>1</v>
      </c>
      <c r="G61">
        <v>25674181</v>
      </c>
      <c r="H61">
        <v>3</v>
      </c>
      <c r="I61" t="s">
        <v>320</v>
      </c>
      <c r="J61" t="s">
        <v>321</v>
      </c>
      <c r="K61" t="s">
        <v>322</v>
      </c>
      <c r="L61">
        <v>1348</v>
      </c>
      <c r="N61">
        <v>1013</v>
      </c>
      <c r="O61" t="s">
        <v>67</v>
      </c>
      <c r="P61" t="s">
        <v>67</v>
      </c>
      <c r="Q61">
        <v>1</v>
      </c>
      <c r="W61">
        <v>0</v>
      </c>
      <c r="X61">
        <v>218864245</v>
      </c>
      <c r="Y61">
        <v>0.00991</v>
      </c>
      <c r="AA61">
        <v>142669.85</v>
      </c>
      <c r="AB61">
        <v>0</v>
      </c>
      <c r="AC61">
        <v>0</v>
      </c>
      <c r="AD61">
        <v>0</v>
      </c>
      <c r="AE61">
        <v>142669.85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0.00991</v>
      </c>
      <c r="AV61">
        <v>0</v>
      </c>
      <c r="AW61">
        <v>2</v>
      </c>
      <c r="AX61">
        <v>26616475</v>
      </c>
      <c r="AY61">
        <v>1</v>
      </c>
      <c r="AZ61">
        <v>0</v>
      </c>
      <c r="BA61">
        <v>60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Y61*Source!I51</f>
        <v>0.00172434</v>
      </c>
      <c r="CY61">
        <f t="shared" si="12"/>
        <v>142669.85</v>
      </c>
      <c r="CZ61">
        <f t="shared" si="13"/>
        <v>142669.85</v>
      </c>
      <c r="DA61">
        <f t="shared" si="14"/>
        <v>1</v>
      </c>
      <c r="DB61">
        <v>0</v>
      </c>
    </row>
    <row r="62" spans="1:106" ht="12.75">
      <c r="A62">
        <f>ROW(Source!A51)</f>
        <v>51</v>
      </c>
      <c r="B62">
        <v>26615678</v>
      </c>
      <c r="C62">
        <v>26616468</v>
      </c>
      <c r="D62">
        <v>25688067</v>
      </c>
      <c r="E62">
        <v>1</v>
      </c>
      <c r="F62">
        <v>1</v>
      </c>
      <c r="G62">
        <v>25674181</v>
      </c>
      <c r="H62">
        <v>3</v>
      </c>
      <c r="I62" t="s">
        <v>347</v>
      </c>
      <c r="J62" t="s">
        <v>348</v>
      </c>
      <c r="K62" t="s">
        <v>349</v>
      </c>
      <c r="L62">
        <v>1348</v>
      </c>
      <c r="N62">
        <v>1013</v>
      </c>
      <c r="O62" t="s">
        <v>67</v>
      </c>
      <c r="P62" t="s">
        <v>67</v>
      </c>
      <c r="Q62">
        <v>1</v>
      </c>
      <c r="W62">
        <v>0</v>
      </c>
      <c r="X62">
        <v>-602459445</v>
      </c>
      <c r="Y62">
        <v>0.0011</v>
      </c>
      <c r="AA62">
        <v>165838.61</v>
      </c>
      <c r="AB62">
        <v>0</v>
      </c>
      <c r="AC62">
        <v>0</v>
      </c>
      <c r="AD62">
        <v>0</v>
      </c>
      <c r="AE62">
        <v>165838.61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0.0011</v>
      </c>
      <c r="AV62">
        <v>0</v>
      </c>
      <c r="AW62">
        <v>2</v>
      </c>
      <c r="AX62">
        <v>26616476</v>
      </c>
      <c r="AY62">
        <v>1</v>
      </c>
      <c r="AZ62">
        <v>0</v>
      </c>
      <c r="BA62">
        <v>61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Y62*Source!I51</f>
        <v>0.0001914</v>
      </c>
      <c r="CY62">
        <f t="shared" si="12"/>
        <v>165838.61</v>
      </c>
      <c r="CZ62">
        <f t="shared" si="13"/>
        <v>165838.61</v>
      </c>
      <c r="DA62">
        <f t="shared" si="14"/>
        <v>1</v>
      </c>
      <c r="DB62">
        <v>0</v>
      </c>
    </row>
    <row r="63" spans="1:106" ht="12.75">
      <c r="A63">
        <f>ROW(Source!A51)</f>
        <v>51</v>
      </c>
      <c r="B63">
        <v>26615678</v>
      </c>
      <c r="C63">
        <v>26616468</v>
      </c>
      <c r="D63">
        <v>25693324</v>
      </c>
      <c r="E63">
        <v>1</v>
      </c>
      <c r="F63">
        <v>1</v>
      </c>
      <c r="G63">
        <v>25674181</v>
      </c>
      <c r="H63">
        <v>3</v>
      </c>
      <c r="I63" t="s">
        <v>117</v>
      </c>
      <c r="J63" t="s">
        <v>119</v>
      </c>
      <c r="K63" t="s">
        <v>118</v>
      </c>
      <c r="L63">
        <v>1354</v>
      </c>
      <c r="N63">
        <v>1013</v>
      </c>
      <c r="O63" t="s">
        <v>17</v>
      </c>
      <c r="P63" t="s">
        <v>17</v>
      </c>
      <c r="Q63">
        <v>1</v>
      </c>
      <c r="W63">
        <v>0</v>
      </c>
      <c r="X63">
        <v>1556107571</v>
      </c>
      <c r="Y63">
        <v>11.494253</v>
      </c>
      <c r="AA63">
        <v>3423.7</v>
      </c>
      <c r="AB63">
        <v>0</v>
      </c>
      <c r="AC63">
        <v>0</v>
      </c>
      <c r="AD63">
        <v>0</v>
      </c>
      <c r="AE63">
        <v>3423.7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T63">
        <v>11.494253</v>
      </c>
      <c r="AV63">
        <v>0</v>
      </c>
      <c r="AW63">
        <v>1</v>
      </c>
      <c r="AX63">
        <v>-1</v>
      </c>
      <c r="AY63">
        <v>0</v>
      </c>
      <c r="AZ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Y63*Source!I51</f>
        <v>2.000000022</v>
      </c>
      <c r="CY63">
        <f t="shared" si="12"/>
        <v>3423.7</v>
      </c>
      <c r="CZ63">
        <f t="shared" si="13"/>
        <v>3423.7</v>
      </c>
      <c r="DA63">
        <f t="shared" si="14"/>
        <v>1</v>
      </c>
      <c r="DB63">
        <v>0</v>
      </c>
    </row>
    <row r="64" spans="1:106" ht="12.75">
      <c r="A64">
        <f>ROW(Source!A51)</f>
        <v>51</v>
      </c>
      <c r="B64">
        <v>26615678</v>
      </c>
      <c r="C64">
        <v>26616468</v>
      </c>
      <c r="D64">
        <v>25693019</v>
      </c>
      <c r="E64">
        <v>1</v>
      </c>
      <c r="F64">
        <v>1</v>
      </c>
      <c r="G64">
        <v>25674181</v>
      </c>
      <c r="H64">
        <v>3</v>
      </c>
      <c r="I64" t="s">
        <v>108</v>
      </c>
      <c r="J64" t="s">
        <v>110</v>
      </c>
      <c r="K64" t="s">
        <v>109</v>
      </c>
      <c r="L64">
        <v>1327</v>
      </c>
      <c r="N64">
        <v>1013</v>
      </c>
      <c r="O64" t="s">
        <v>85</v>
      </c>
      <c r="P64" t="s">
        <v>85</v>
      </c>
      <c r="Q64">
        <v>1</v>
      </c>
      <c r="W64">
        <v>0</v>
      </c>
      <c r="X64">
        <v>1654362007</v>
      </c>
      <c r="Y64">
        <v>100</v>
      </c>
      <c r="AA64">
        <v>788.47</v>
      </c>
      <c r="AB64">
        <v>0</v>
      </c>
      <c r="AC64">
        <v>0</v>
      </c>
      <c r="AD64">
        <v>0</v>
      </c>
      <c r="AE64">
        <v>788.47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T64">
        <v>100</v>
      </c>
      <c r="AV64">
        <v>0</v>
      </c>
      <c r="AW64">
        <v>1</v>
      </c>
      <c r="AX64">
        <v>-1</v>
      </c>
      <c r="AY64">
        <v>0</v>
      </c>
      <c r="AZ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Y64*Source!I51</f>
        <v>17.4</v>
      </c>
      <c r="CY64">
        <f t="shared" si="12"/>
        <v>788.47</v>
      </c>
      <c r="CZ64">
        <f t="shared" si="13"/>
        <v>788.47</v>
      </c>
      <c r="DA64">
        <f t="shared" si="14"/>
        <v>1</v>
      </c>
      <c r="DB64">
        <v>0</v>
      </c>
    </row>
    <row r="65" spans="1:106" ht="12.75">
      <c r="A65">
        <f>ROW(Source!A51)</f>
        <v>51</v>
      </c>
      <c r="B65">
        <v>26615678</v>
      </c>
      <c r="C65">
        <v>26616468</v>
      </c>
      <c r="D65">
        <v>0</v>
      </c>
      <c r="E65">
        <v>25674181</v>
      </c>
      <c r="F65">
        <v>1</v>
      </c>
      <c r="G65">
        <v>25674181</v>
      </c>
      <c r="H65">
        <v>3</v>
      </c>
      <c r="I65" t="s">
        <v>88</v>
      </c>
      <c r="K65" t="s">
        <v>89</v>
      </c>
      <c r="L65">
        <v>1371</v>
      </c>
      <c r="N65">
        <v>1013</v>
      </c>
      <c r="O65" t="s">
        <v>25</v>
      </c>
      <c r="P65" t="s">
        <v>25</v>
      </c>
      <c r="Q65">
        <v>1</v>
      </c>
      <c r="W65">
        <v>0</v>
      </c>
      <c r="X65">
        <v>-2029574086</v>
      </c>
      <c r="Y65">
        <v>5.747126</v>
      </c>
      <c r="AA65">
        <v>316.95</v>
      </c>
      <c r="AB65">
        <v>0</v>
      </c>
      <c r="AC65">
        <v>0</v>
      </c>
      <c r="AD65">
        <v>0</v>
      </c>
      <c r="AE65">
        <v>316.95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T65">
        <v>5.747126</v>
      </c>
      <c r="AV65">
        <v>0</v>
      </c>
      <c r="AW65">
        <v>1</v>
      </c>
      <c r="AX65">
        <v>-1</v>
      </c>
      <c r="AY65">
        <v>0</v>
      </c>
      <c r="AZ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Y65*Source!I51</f>
        <v>0.9999999239999999</v>
      </c>
      <c r="CY65">
        <f t="shared" si="12"/>
        <v>316.95</v>
      </c>
      <c r="CZ65">
        <f t="shared" si="13"/>
        <v>316.95</v>
      </c>
      <c r="DA65">
        <f t="shared" si="14"/>
        <v>1</v>
      </c>
      <c r="DB65">
        <v>0</v>
      </c>
    </row>
    <row r="66" spans="1:106" ht="12.75">
      <c r="A66">
        <f>ROW(Source!A55)</f>
        <v>55</v>
      </c>
      <c r="B66">
        <v>26615678</v>
      </c>
      <c r="C66">
        <v>26616495</v>
      </c>
      <c r="D66">
        <v>25674184</v>
      </c>
      <c r="E66">
        <v>25674181</v>
      </c>
      <c r="F66">
        <v>1</v>
      </c>
      <c r="G66">
        <v>25674181</v>
      </c>
      <c r="H66">
        <v>1</v>
      </c>
      <c r="I66" t="s">
        <v>291</v>
      </c>
      <c r="K66" t="s">
        <v>292</v>
      </c>
      <c r="L66">
        <v>1191</v>
      </c>
      <c r="N66">
        <v>1013</v>
      </c>
      <c r="O66" t="s">
        <v>293</v>
      </c>
      <c r="P66" t="s">
        <v>293</v>
      </c>
      <c r="Q66">
        <v>1</v>
      </c>
      <c r="W66">
        <v>0</v>
      </c>
      <c r="X66">
        <v>476480486</v>
      </c>
      <c r="Y66">
        <v>126.5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126.5</v>
      </c>
      <c r="AV66">
        <v>1</v>
      </c>
      <c r="AW66">
        <v>2</v>
      </c>
      <c r="AX66">
        <v>26616496</v>
      </c>
      <c r="AY66">
        <v>1</v>
      </c>
      <c r="AZ66">
        <v>0</v>
      </c>
      <c r="BA66">
        <v>68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Y66*Source!I55</f>
        <v>60.72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ht="12.75">
      <c r="A67">
        <f>ROW(Source!A55)</f>
        <v>55</v>
      </c>
      <c r="B67">
        <v>26615678</v>
      </c>
      <c r="C67">
        <v>26616495</v>
      </c>
      <c r="D67">
        <v>25685390</v>
      </c>
      <c r="E67">
        <v>1</v>
      </c>
      <c r="F67">
        <v>1</v>
      </c>
      <c r="G67">
        <v>25674181</v>
      </c>
      <c r="H67">
        <v>2</v>
      </c>
      <c r="I67" t="s">
        <v>297</v>
      </c>
      <c r="J67" t="s">
        <v>298</v>
      </c>
      <c r="K67" t="s">
        <v>299</v>
      </c>
      <c r="L67">
        <v>1368</v>
      </c>
      <c r="N67">
        <v>1011</v>
      </c>
      <c r="O67" t="s">
        <v>300</v>
      </c>
      <c r="P67" t="s">
        <v>300</v>
      </c>
      <c r="Q67">
        <v>1</v>
      </c>
      <c r="W67">
        <v>0</v>
      </c>
      <c r="X67">
        <v>144256025</v>
      </c>
      <c r="Y67">
        <v>1.41</v>
      </c>
      <c r="AA67">
        <v>0</v>
      </c>
      <c r="AB67">
        <v>32.82</v>
      </c>
      <c r="AC67">
        <v>6.85</v>
      </c>
      <c r="AD67">
        <v>0</v>
      </c>
      <c r="AE67">
        <v>0</v>
      </c>
      <c r="AF67">
        <v>32.82</v>
      </c>
      <c r="AG67">
        <v>6.85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1.41</v>
      </c>
      <c r="AV67">
        <v>0</v>
      </c>
      <c r="AW67">
        <v>2</v>
      </c>
      <c r="AX67">
        <v>26616497</v>
      </c>
      <c r="AY67">
        <v>1</v>
      </c>
      <c r="AZ67">
        <v>0</v>
      </c>
      <c r="BA67">
        <v>69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Y67*Source!I55</f>
        <v>0.6768</v>
      </c>
      <c r="CY67">
        <f>AB67</f>
        <v>32.82</v>
      </c>
      <c r="CZ67">
        <f>AF67</f>
        <v>32.82</v>
      </c>
      <c r="DA67">
        <f>AJ67</f>
        <v>1</v>
      </c>
      <c r="DB67">
        <v>0</v>
      </c>
    </row>
    <row r="68" spans="1:106" ht="12.75">
      <c r="A68">
        <f>ROW(Source!A55)</f>
        <v>55</v>
      </c>
      <c r="B68">
        <v>26615678</v>
      </c>
      <c r="C68">
        <v>26616495</v>
      </c>
      <c r="D68">
        <v>25685711</v>
      </c>
      <c r="E68">
        <v>1</v>
      </c>
      <c r="F68">
        <v>1</v>
      </c>
      <c r="G68">
        <v>25674181</v>
      </c>
      <c r="H68">
        <v>2</v>
      </c>
      <c r="I68" t="s">
        <v>341</v>
      </c>
      <c r="J68" t="s">
        <v>342</v>
      </c>
      <c r="K68" t="s">
        <v>343</v>
      </c>
      <c r="L68">
        <v>1368</v>
      </c>
      <c r="N68">
        <v>1011</v>
      </c>
      <c r="O68" t="s">
        <v>300</v>
      </c>
      <c r="P68" t="s">
        <v>300</v>
      </c>
      <c r="Q68">
        <v>1</v>
      </c>
      <c r="W68">
        <v>0</v>
      </c>
      <c r="X68">
        <v>1066648727</v>
      </c>
      <c r="Y68">
        <v>0.21</v>
      </c>
      <c r="AA68">
        <v>0</v>
      </c>
      <c r="AB68">
        <v>28.36</v>
      </c>
      <c r="AC68">
        <v>9.49</v>
      </c>
      <c r="AD68">
        <v>0</v>
      </c>
      <c r="AE68">
        <v>0</v>
      </c>
      <c r="AF68">
        <v>28.36</v>
      </c>
      <c r="AG68">
        <v>9.49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0.21</v>
      </c>
      <c r="AV68">
        <v>0</v>
      </c>
      <c r="AW68">
        <v>2</v>
      </c>
      <c r="AX68">
        <v>26616498</v>
      </c>
      <c r="AY68">
        <v>1</v>
      </c>
      <c r="AZ68">
        <v>0</v>
      </c>
      <c r="BA68">
        <v>70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Y68*Source!I55</f>
        <v>0.10079999999999999</v>
      </c>
      <c r="CY68">
        <f>AB68</f>
        <v>28.36</v>
      </c>
      <c r="CZ68">
        <f>AF68</f>
        <v>28.36</v>
      </c>
      <c r="DA68">
        <f>AJ68</f>
        <v>1</v>
      </c>
      <c r="DB68">
        <v>0</v>
      </c>
    </row>
    <row r="69" spans="1:106" ht="12.75">
      <c r="A69">
        <f>ROW(Source!A55)</f>
        <v>55</v>
      </c>
      <c r="B69">
        <v>26615678</v>
      </c>
      <c r="C69">
        <v>26616495</v>
      </c>
      <c r="D69">
        <v>25686794</v>
      </c>
      <c r="E69">
        <v>1</v>
      </c>
      <c r="F69">
        <v>1</v>
      </c>
      <c r="G69">
        <v>25674181</v>
      </c>
      <c r="H69">
        <v>3</v>
      </c>
      <c r="I69" t="s">
        <v>314</v>
      </c>
      <c r="J69" t="s">
        <v>315</v>
      </c>
      <c r="K69" t="s">
        <v>316</v>
      </c>
      <c r="L69">
        <v>1348</v>
      </c>
      <c r="N69">
        <v>1013</v>
      </c>
      <c r="O69" t="s">
        <v>67</v>
      </c>
      <c r="P69" t="s">
        <v>67</v>
      </c>
      <c r="Q69">
        <v>1</v>
      </c>
      <c r="W69">
        <v>0</v>
      </c>
      <c r="X69">
        <v>-441702737</v>
      </c>
      <c r="Y69">
        <v>0.008</v>
      </c>
      <c r="AA69">
        <v>85160.23</v>
      </c>
      <c r="AB69">
        <v>0</v>
      </c>
      <c r="AC69">
        <v>0</v>
      </c>
      <c r="AD69">
        <v>0</v>
      </c>
      <c r="AE69">
        <v>85160.23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0.008</v>
      </c>
      <c r="AV69">
        <v>0</v>
      </c>
      <c r="AW69">
        <v>2</v>
      </c>
      <c r="AX69">
        <v>26616500</v>
      </c>
      <c r="AY69">
        <v>1</v>
      </c>
      <c r="AZ69">
        <v>0</v>
      </c>
      <c r="BA69">
        <v>71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Y69*Source!I55</f>
        <v>0.00384</v>
      </c>
      <c r="CY69">
        <f aca="true" t="shared" si="15" ref="CY69:CY76">AA69</f>
        <v>85160.23</v>
      </c>
      <c r="CZ69">
        <f aca="true" t="shared" si="16" ref="CZ69:CZ76">AE69</f>
        <v>85160.23</v>
      </c>
      <c r="DA69">
        <f aca="true" t="shared" si="17" ref="DA69:DA76">AI69</f>
        <v>1</v>
      </c>
      <c r="DB69">
        <v>0</v>
      </c>
    </row>
    <row r="70" spans="1:106" ht="12.75">
      <c r="A70">
        <f>ROW(Source!A55)</f>
        <v>55</v>
      </c>
      <c r="B70">
        <v>26615678</v>
      </c>
      <c r="C70">
        <v>26616495</v>
      </c>
      <c r="D70">
        <v>25685895</v>
      </c>
      <c r="E70">
        <v>1</v>
      </c>
      <c r="F70">
        <v>1</v>
      </c>
      <c r="G70">
        <v>25674181</v>
      </c>
      <c r="H70">
        <v>3</v>
      </c>
      <c r="I70" t="s">
        <v>344</v>
      </c>
      <c r="J70" t="s">
        <v>345</v>
      </c>
      <c r="K70" t="s">
        <v>346</v>
      </c>
      <c r="L70">
        <v>1348</v>
      </c>
      <c r="N70">
        <v>1013</v>
      </c>
      <c r="O70" t="s">
        <v>67</v>
      </c>
      <c r="P70" t="s">
        <v>67</v>
      </c>
      <c r="Q70">
        <v>1</v>
      </c>
      <c r="W70">
        <v>0</v>
      </c>
      <c r="X70">
        <v>1577982966</v>
      </c>
      <c r="Y70">
        <v>0.00269</v>
      </c>
      <c r="AA70">
        <v>18733.8</v>
      </c>
      <c r="AB70">
        <v>0</v>
      </c>
      <c r="AC70">
        <v>0</v>
      </c>
      <c r="AD70">
        <v>0</v>
      </c>
      <c r="AE70">
        <v>18733.8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0.00269</v>
      </c>
      <c r="AV70">
        <v>0</v>
      </c>
      <c r="AW70">
        <v>2</v>
      </c>
      <c r="AX70">
        <v>26616499</v>
      </c>
      <c r="AY70">
        <v>1</v>
      </c>
      <c r="AZ70">
        <v>0</v>
      </c>
      <c r="BA70">
        <v>72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Y70*Source!I55</f>
        <v>0.0012912</v>
      </c>
      <c r="CY70">
        <f t="shared" si="15"/>
        <v>18733.8</v>
      </c>
      <c r="CZ70">
        <f t="shared" si="16"/>
        <v>18733.8</v>
      </c>
      <c r="DA70">
        <f t="shared" si="17"/>
        <v>1</v>
      </c>
      <c r="DB70">
        <v>0</v>
      </c>
    </row>
    <row r="71" spans="1:106" ht="12.75">
      <c r="A71">
        <f>ROW(Source!A55)</f>
        <v>55</v>
      </c>
      <c r="B71">
        <v>26615678</v>
      </c>
      <c r="C71">
        <v>26616495</v>
      </c>
      <c r="D71">
        <v>25687630</v>
      </c>
      <c r="E71">
        <v>1</v>
      </c>
      <c r="F71">
        <v>1</v>
      </c>
      <c r="G71">
        <v>25674181</v>
      </c>
      <c r="H71">
        <v>3</v>
      </c>
      <c r="I71" t="s">
        <v>304</v>
      </c>
      <c r="J71" t="s">
        <v>305</v>
      </c>
      <c r="K71" t="s">
        <v>306</v>
      </c>
      <c r="L71">
        <v>1348</v>
      </c>
      <c r="N71">
        <v>1013</v>
      </c>
      <c r="O71" t="s">
        <v>67</v>
      </c>
      <c r="P71" t="s">
        <v>67</v>
      </c>
      <c r="Q71">
        <v>1</v>
      </c>
      <c r="W71">
        <v>0</v>
      </c>
      <c r="X71">
        <v>-1544492133</v>
      </c>
      <c r="Y71">
        <v>0.00033</v>
      </c>
      <c r="AA71">
        <v>109898.69</v>
      </c>
      <c r="AB71">
        <v>0</v>
      </c>
      <c r="AC71">
        <v>0</v>
      </c>
      <c r="AD71">
        <v>0</v>
      </c>
      <c r="AE71">
        <v>109898.69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0.00033</v>
      </c>
      <c r="AV71">
        <v>0</v>
      </c>
      <c r="AW71">
        <v>2</v>
      </c>
      <c r="AX71">
        <v>26616501</v>
      </c>
      <c r="AY71">
        <v>1</v>
      </c>
      <c r="AZ71">
        <v>0</v>
      </c>
      <c r="BA71">
        <v>73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Y71*Source!I55</f>
        <v>0.0001584</v>
      </c>
      <c r="CY71">
        <f t="shared" si="15"/>
        <v>109898.69</v>
      </c>
      <c r="CZ71">
        <f t="shared" si="16"/>
        <v>109898.69</v>
      </c>
      <c r="DA71">
        <f t="shared" si="17"/>
        <v>1</v>
      </c>
      <c r="DB71">
        <v>0</v>
      </c>
    </row>
    <row r="72" spans="1:106" ht="12.75">
      <c r="A72">
        <f>ROW(Source!A55)</f>
        <v>55</v>
      </c>
      <c r="B72">
        <v>26615678</v>
      </c>
      <c r="C72">
        <v>26616495</v>
      </c>
      <c r="D72">
        <v>25687974</v>
      </c>
      <c r="E72">
        <v>1</v>
      </c>
      <c r="F72">
        <v>1</v>
      </c>
      <c r="G72">
        <v>25674181</v>
      </c>
      <c r="H72">
        <v>3</v>
      </c>
      <c r="I72" t="s">
        <v>320</v>
      </c>
      <c r="J72" t="s">
        <v>321</v>
      </c>
      <c r="K72" t="s">
        <v>322</v>
      </c>
      <c r="L72">
        <v>1348</v>
      </c>
      <c r="N72">
        <v>1013</v>
      </c>
      <c r="O72" t="s">
        <v>67</v>
      </c>
      <c r="P72" t="s">
        <v>67</v>
      </c>
      <c r="Q72">
        <v>1</v>
      </c>
      <c r="W72">
        <v>0</v>
      </c>
      <c r="X72">
        <v>218864245</v>
      </c>
      <c r="Y72">
        <v>0.00991</v>
      </c>
      <c r="AA72">
        <v>142669.85</v>
      </c>
      <c r="AB72">
        <v>0</v>
      </c>
      <c r="AC72">
        <v>0</v>
      </c>
      <c r="AD72">
        <v>0</v>
      </c>
      <c r="AE72">
        <v>142669.85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0.00991</v>
      </c>
      <c r="AV72">
        <v>0</v>
      </c>
      <c r="AW72">
        <v>2</v>
      </c>
      <c r="AX72">
        <v>26616502</v>
      </c>
      <c r="AY72">
        <v>1</v>
      </c>
      <c r="AZ72">
        <v>0</v>
      </c>
      <c r="BA72">
        <v>74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Y72*Source!I55</f>
        <v>0.0047568</v>
      </c>
      <c r="CY72">
        <f t="shared" si="15"/>
        <v>142669.85</v>
      </c>
      <c r="CZ72">
        <f t="shared" si="16"/>
        <v>142669.85</v>
      </c>
      <c r="DA72">
        <f t="shared" si="17"/>
        <v>1</v>
      </c>
      <c r="DB72">
        <v>0</v>
      </c>
    </row>
    <row r="73" spans="1:106" ht="12.75">
      <c r="A73">
        <f>ROW(Source!A55)</f>
        <v>55</v>
      </c>
      <c r="B73">
        <v>26615678</v>
      </c>
      <c r="C73">
        <v>26616495</v>
      </c>
      <c r="D73">
        <v>25688067</v>
      </c>
      <c r="E73">
        <v>1</v>
      </c>
      <c r="F73">
        <v>1</v>
      </c>
      <c r="G73">
        <v>25674181</v>
      </c>
      <c r="H73">
        <v>3</v>
      </c>
      <c r="I73" t="s">
        <v>347</v>
      </c>
      <c r="J73" t="s">
        <v>348</v>
      </c>
      <c r="K73" t="s">
        <v>349</v>
      </c>
      <c r="L73">
        <v>1348</v>
      </c>
      <c r="N73">
        <v>1013</v>
      </c>
      <c r="O73" t="s">
        <v>67</v>
      </c>
      <c r="P73" t="s">
        <v>67</v>
      </c>
      <c r="Q73">
        <v>1</v>
      </c>
      <c r="W73">
        <v>0</v>
      </c>
      <c r="X73">
        <v>-602459445</v>
      </c>
      <c r="Y73">
        <v>0.0011</v>
      </c>
      <c r="AA73">
        <v>165838.61</v>
      </c>
      <c r="AB73">
        <v>0</v>
      </c>
      <c r="AC73">
        <v>0</v>
      </c>
      <c r="AD73">
        <v>0</v>
      </c>
      <c r="AE73">
        <v>165838.61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0.0011</v>
      </c>
      <c r="AV73">
        <v>0</v>
      </c>
      <c r="AW73">
        <v>2</v>
      </c>
      <c r="AX73">
        <v>26616503</v>
      </c>
      <c r="AY73">
        <v>1</v>
      </c>
      <c r="AZ73">
        <v>0</v>
      </c>
      <c r="BA73">
        <v>75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Y73*Source!I55</f>
        <v>0.000528</v>
      </c>
      <c r="CY73">
        <f t="shared" si="15"/>
        <v>165838.61</v>
      </c>
      <c r="CZ73">
        <f t="shared" si="16"/>
        <v>165838.61</v>
      </c>
      <c r="DA73">
        <f t="shared" si="17"/>
        <v>1</v>
      </c>
      <c r="DB73">
        <v>0</v>
      </c>
    </row>
    <row r="74" spans="1:106" ht="12.75">
      <c r="A74">
        <f>ROW(Source!A55)</f>
        <v>55</v>
      </c>
      <c r="B74">
        <v>26615678</v>
      </c>
      <c r="C74">
        <v>26616495</v>
      </c>
      <c r="D74">
        <v>25693324</v>
      </c>
      <c r="E74">
        <v>1</v>
      </c>
      <c r="F74">
        <v>1</v>
      </c>
      <c r="G74">
        <v>25674181</v>
      </c>
      <c r="H74">
        <v>3</v>
      </c>
      <c r="I74" t="s">
        <v>117</v>
      </c>
      <c r="J74" t="s">
        <v>119</v>
      </c>
      <c r="K74" t="s">
        <v>118</v>
      </c>
      <c r="L74">
        <v>1354</v>
      </c>
      <c r="N74">
        <v>1013</v>
      </c>
      <c r="O74" t="s">
        <v>17</v>
      </c>
      <c r="P74" t="s">
        <v>17</v>
      </c>
      <c r="Q74">
        <v>1</v>
      </c>
      <c r="W74">
        <v>0</v>
      </c>
      <c r="X74">
        <v>1556107571</v>
      </c>
      <c r="Y74">
        <v>2.083333</v>
      </c>
      <c r="AA74">
        <v>3423.7</v>
      </c>
      <c r="AB74">
        <v>0</v>
      </c>
      <c r="AC74">
        <v>0</v>
      </c>
      <c r="AD74">
        <v>0</v>
      </c>
      <c r="AE74">
        <v>3423.7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T74">
        <v>2.083333</v>
      </c>
      <c r="AV74">
        <v>0</v>
      </c>
      <c r="AW74">
        <v>1</v>
      </c>
      <c r="AX74">
        <v>-1</v>
      </c>
      <c r="AY74">
        <v>0</v>
      </c>
      <c r="AZ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Y74*Source!I55</f>
        <v>0.99999984</v>
      </c>
      <c r="CY74">
        <f t="shared" si="15"/>
        <v>3423.7</v>
      </c>
      <c r="CZ74">
        <f t="shared" si="16"/>
        <v>3423.7</v>
      </c>
      <c r="DA74">
        <f t="shared" si="17"/>
        <v>1</v>
      </c>
      <c r="DB74">
        <v>0</v>
      </c>
    </row>
    <row r="75" spans="1:106" ht="12.75">
      <c r="A75">
        <f>ROW(Source!A55)</f>
        <v>55</v>
      </c>
      <c r="B75">
        <v>26615678</v>
      </c>
      <c r="C75">
        <v>26616495</v>
      </c>
      <c r="D75">
        <v>25693019</v>
      </c>
      <c r="E75">
        <v>1</v>
      </c>
      <c r="F75">
        <v>1</v>
      </c>
      <c r="G75">
        <v>25674181</v>
      </c>
      <c r="H75">
        <v>3</v>
      </c>
      <c r="I75" t="s">
        <v>108</v>
      </c>
      <c r="J75" t="s">
        <v>110</v>
      </c>
      <c r="K75" t="s">
        <v>109</v>
      </c>
      <c r="L75">
        <v>1327</v>
      </c>
      <c r="N75">
        <v>1013</v>
      </c>
      <c r="O75" t="s">
        <v>85</v>
      </c>
      <c r="P75" t="s">
        <v>85</v>
      </c>
      <c r="Q75">
        <v>1</v>
      </c>
      <c r="W75">
        <v>0</v>
      </c>
      <c r="X75">
        <v>1654362007</v>
      </c>
      <c r="Y75">
        <v>100</v>
      </c>
      <c r="AA75">
        <v>788.47</v>
      </c>
      <c r="AB75">
        <v>0</v>
      </c>
      <c r="AC75">
        <v>0</v>
      </c>
      <c r="AD75">
        <v>0</v>
      </c>
      <c r="AE75">
        <v>788.47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100</v>
      </c>
      <c r="AV75">
        <v>0</v>
      </c>
      <c r="AW75">
        <v>1</v>
      </c>
      <c r="AX75">
        <v>-1</v>
      </c>
      <c r="AY75">
        <v>0</v>
      </c>
      <c r="AZ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Y75*Source!I55</f>
        <v>48</v>
      </c>
      <c r="CY75">
        <f t="shared" si="15"/>
        <v>788.47</v>
      </c>
      <c r="CZ75">
        <f t="shared" si="16"/>
        <v>788.47</v>
      </c>
      <c r="DA75">
        <f t="shared" si="17"/>
        <v>1</v>
      </c>
      <c r="DB75">
        <v>0</v>
      </c>
    </row>
    <row r="76" spans="1:106" ht="12.75">
      <c r="A76">
        <f>ROW(Source!A55)</f>
        <v>55</v>
      </c>
      <c r="B76">
        <v>26615678</v>
      </c>
      <c r="C76">
        <v>26616495</v>
      </c>
      <c r="D76">
        <v>0</v>
      </c>
      <c r="E76">
        <v>25674181</v>
      </c>
      <c r="F76">
        <v>1</v>
      </c>
      <c r="G76">
        <v>25674181</v>
      </c>
      <c r="H76">
        <v>3</v>
      </c>
      <c r="I76" t="s">
        <v>88</v>
      </c>
      <c r="K76" t="s">
        <v>89</v>
      </c>
      <c r="L76">
        <v>1371</v>
      </c>
      <c r="N76">
        <v>1013</v>
      </c>
      <c r="O76" t="s">
        <v>25</v>
      </c>
      <c r="P76" t="s">
        <v>25</v>
      </c>
      <c r="Q76">
        <v>1</v>
      </c>
      <c r="W76">
        <v>0</v>
      </c>
      <c r="X76">
        <v>-2029574086</v>
      </c>
      <c r="Y76">
        <v>4.166667</v>
      </c>
      <c r="AA76">
        <v>316.95</v>
      </c>
      <c r="AB76">
        <v>0</v>
      </c>
      <c r="AC76">
        <v>0</v>
      </c>
      <c r="AD76">
        <v>0</v>
      </c>
      <c r="AE76">
        <v>316.95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T76">
        <v>4.166667</v>
      </c>
      <c r="AV76">
        <v>0</v>
      </c>
      <c r="AW76">
        <v>1</v>
      </c>
      <c r="AX76">
        <v>-1</v>
      </c>
      <c r="AY76">
        <v>0</v>
      </c>
      <c r="AZ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Y76*Source!I55</f>
        <v>2.00000016</v>
      </c>
      <c r="CY76">
        <f t="shared" si="15"/>
        <v>316.95</v>
      </c>
      <c r="CZ76">
        <f t="shared" si="16"/>
        <v>316.95</v>
      </c>
      <c r="DA76">
        <f t="shared" si="17"/>
        <v>1</v>
      </c>
      <c r="DB76">
        <v>0</v>
      </c>
    </row>
    <row r="77" spans="1:106" ht="12.75">
      <c r="A77">
        <f>ROW(Source!A59)</f>
        <v>59</v>
      </c>
      <c r="B77">
        <v>26615678</v>
      </c>
      <c r="C77">
        <v>26616618</v>
      </c>
      <c r="D77">
        <v>25674184</v>
      </c>
      <c r="E77">
        <v>25674181</v>
      </c>
      <c r="F77">
        <v>1</v>
      </c>
      <c r="G77">
        <v>25674181</v>
      </c>
      <c r="H77">
        <v>1</v>
      </c>
      <c r="I77" t="s">
        <v>291</v>
      </c>
      <c r="K77" t="s">
        <v>292</v>
      </c>
      <c r="L77">
        <v>1191</v>
      </c>
      <c r="N77">
        <v>1013</v>
      </c>
      <c r="O77" t="s">
        <v>293</v>
      </c>
      <c r="P77" t="s">
        <v>293</v>
      </c>
      <c r="Q77">
        <v>1</v>
      </c>
      <c r="W77">
        <v>0</v>
      </c>
      <c r="X77">
        <v>476480486</v>
      </c>
      <c r="Y77">
        <v>0.58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0.58</v>
      </c>
      <c r="AV77">
        <v>1</v>
      </c>
      <c r="AW77">
        <v>2</v>
      </c>
      <c r="AX77">
        <v>26616619</v>
      </c>
      <c r="AY77">
        <v>1</v>
      </c>
      <c r="AZ77">
        <v>0</v>
      </c>
      <c r="BA77">
        <v>82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Y77*Source!I59</f>
        <v>14.847999999999999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ht="12.75">
      <c r="A78">
        <f>ROW(Source!A59)</f>
        <v>59</v>
      </c>
      <c r="B78">
        <v>26615678</v>
      </c>
      <c r="C78">
        <v>26616618</v>
      </c>
      <c r="D78">
        <v>25687079</v>
      </c>
      <c r="E78">
        <v>1</v>
      </c>
      <c r="F78">
        <v>1</v>
      </c>
      <c r="G78">
        <v>25674181</v>
      </c>
      <c r="H78">
        <v>3</v>
      </c>
      <c r="I78" t="s">
        <v>134</v>
      </c>
      <c r="J78" t="s">
        <v>136</v>
      </c>
      <c r="K78" t="s">
        <v>135</v>
      </c>
      <c r="L78">
        <v>1327</v>
      </c>
      <c r="N78">
        <v>1013</v>
      </c>
      <c r="O78" t="s">
        <v>85</v>
      </c>
      <c r="P78" t="s">
        <v>85</v>
      </c>
      <c r="Q78">
        <v>1</v>
      </c>
      <c r="W78">
        <v>0</v>
      </c>
      <c r="X78">
        <v>-89525433</v>
      </c>
      <c r="Y78">
        <v>1.05</v>
      </c>
      <c r="AA78">
        <v>1021.98</v>
      </c>
      <c r="AB78">
        <v>0</v>
      </c>
      <c r="AC78">
        <v>0</v>
      </c>
      <c r="AD78">
        <v>0</v>
      </c>
      <c r="AE78">
        <v>1021.98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T78">
        <v>1.05</v>
      </c>
      <c r="AV78">
        <v>0</v>
      </c>
      <c r="AW78">
        <v>1</v>
      </c>
      <c r="AX78">
        <v>-1</v>
      </c>
      <c r="AY78">
        <v>0</v>
      </c>
      <c r="AZ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Y78*Source!I59</f>
        <v>26.880000000000003</v>
      </c>
      <c r="CY78">
        <f>AA78</f>
        <v>1021.98</v>
      </c>
      <c r="CZ78">
        <f>AE78</f>
        <v>1021.98</v>
      </c>
      <c r="DA78">
        <f>AI78</f>
        <v>1</v>
      </c>
      <c r="DB78">
        <v>0</v>
      </c>
    </row>
    <row r="79" spans="1:106" ht="12.75">
      <c r="A79">
        <f>ROW(Source!A59)</f>
        <v>59</v>
      </c>
      <c r="B79">
        <v>26615678</v>
      </c>
      <c r="C79">
        <v>26616618</v>
      </c>
      <c r="D79">
        <v>25687825</v>
      </c>
      <c r="E79">
        <v>1</v>
      </c>
      <c r="F79">
        <v>1</v>
      </c>
      <c r="G79">
        <v>25674181</v>
      </c>
      <c r="H79">
        <v>3</v>
      </c>
      <c r="I79" t="s">
        <v>350</v>
      </c>
      <c r="J79" t="s">
        <v>351</v>
      </c>
      <c r="K79" t="s">
        <v>352</v>
      </c>
      <c r="L79">
        <v>1301</v>
      </c>
      <c r="N79">
        <v>1013</v>
      </c>
      <c r="O79" t="s">
        <v>296</v>
      </c>
      <c r="P79" t="s">
        <v>296</v>
      </c>
      <c r="Q79">
        <v>1</v>
      </c>
      <c r="W79">
        <v>0</v>
      </c>
      <c r="X79">
        <v>293498812</v>
      </c>
      <c r="Y79">
        <v>2</v>
      </c>
      <c r="AA79">
        <v>36.72</v>
      </c>
      <c r="AB79">
        <v>0</v>
      </c>
      <c r="AC79">
        <v>0</v>
      </c>
      <c r="AD79">
        <v>0</v>
      </c>
      <c r="AE79">
        <v>36.72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2</v>
      </c>
      <c r="AV79">
        <v>0</v>
      </c>
      <c r="AW79">
        <v>2</v>
      </c>
      <c r="AX79">
        <v>26616620</v>
      </c>
      <c r="AY79">
        <v>1</v>
      </c>
      <c r="AZ79">
        <v>0</v>
      </c>
      <c r="BA79">
        <v>83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Y79*Source!I59</f>
        <v>51.2</v>
      </c>
      <c r="CY79">
        <f>AA79</f>
        <v>36.72</v>
      </c>
      <c r="CZ79">
        <f>AE79</f>
        <v>36.72</v>
      </c>
      <c r="DA79">
        <f>AI79</f>
        <v>1</v>
      </c>
      <c r="DB79">
        <v>0</v>
      </c>
    </row>
    <row r="80" spans="1:106" ht="12.75">
      <c r="A80">
        <f>ROW(Source!A59)</f>
        <v>59</v>
      </c>
      <c r="B80">
        <v>26615678</v>
      </c>
      <c r="C80">
        <v>26616618</v>
      </c>
      <c r="D80">
        <v>25688242</v>
      </c>
      <c r="E80">
        <v>1</v>
      </c>
      <c r="F80">
        <v>1</v>
      </c>
      <c r="G80">
        <v>25674181</v>
      </c>
      <c r="H80">
        <v>3</v>
      </c>
      <c r="I80" t="s">
        <v>138</v>
      </c>
      <c r="J80" t="s">
        <v>141</v>
      </c>
      <c r="K80" t="s">
        <v>139</v>
      </c>
      <c r="L80">
        <v>1346</v>
      </c>
      <c r="N80">
        <v>1013</v>
      </c>
      <c r="O80" t="s">
        <v>140</v>
      </c>
      <c r="P80" t="s">
        <v>140</v>
      </c>
      <c r="Q80">
        <v>1</v>
      </c>
      <c r="W80">
        <v>0</v>
      </c>
      <c r="X80">
        <v>-1981075866</v>
      </c>
      <c r="Y80">
        <v>0.2</v>
      </c>
      <c r="AA80">
        <v>252.32</v>
      </c>
      <c r="AB80">
        <v>0</v>
      </c>
      <c r="AC80">
        <v>0</v>
      </c>
      <c r="AD80">
        <v>0</v>
      </c>
      <c r="AE80">
        <v>252.32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T80">
        <v>0.2</v>
      </c>
      <c r="AV80">
        <v>0</v>
      </c>
      <c r="AW80">
        <v>1</v>
      </c>
      <c r="AX80">
        <v>-1</v>
      </c>
      <c r="AY80">
        <v>0</v>
      </c>
      <c r="AZ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Y80*Source!I59</f>
        <v>5.120000000000001</v>
      </c>
      <c r="CY80">
        <f>AA80</f>
        <v>252.32</v>
      </c>
      <c r="CZ80">
        <f>AE80</f>
        <v>252.32</v>
      </c>
      <c r="DA80">
        <f>AI80</f>
        <v>1</v>
      </c>
      <c r="DB80">
        <v>0</v>
      </c>
    </row>
    <row r="81" spans="1:106" ht="12.75">
      <c r="A81">
        <f>ROW(Source!A59)</f>
        <v>59</v>
      </c>
      <c r="B81">
        <v>26615678</v>
      </c>
      <c r="C81">
        <v>26616618</v>
      </c>
      <c r="D81">
        <v>25686203</v>
      </c>
      <c r="E81">
        <v>1</v>
      </c>
      <c r="F81">
        <v>1</v>
      </c>
      <c r="G81">
        <v>25674181</v>
      </c>
      <c r="H81">
        <v>3</v>
      </c>
      <c r="I81" t="s">
        <v>353</v>
      </c>
      <c r="J81" t="s">
        <v>354</v>
      </c>
      <c r="K81" t="s">
        <v>355</v>
      </c>
      <c r="L81">
        <v>1296</v>
      </c>
      <c r="N81">
        <v>1013</v>
      </c>
      <c r="O81" t="s">
        <v>356</v>
      </c>
      <c r="P81" t="s">
        <v>356</v>
      </c>
      <c r="Q81">
        <v>1</v>
      </c>
      <c r="W81">
        <v>0</v>
      </c>
      <c r="X81">
        <v>1660491037</v>
      </c>
      <c r="Y81">
        <v>0.25</v>
      </c>
      <c r="AA81">
        <v>1212.9</v>
      </c>
      <c r="AB81">
        <v>0</v>
      </c>
      <c r="AC81">
        <v>0</v>
      </c>
      <c r="AD81">
        <v>0</v>
      </c>
      <c r="AE81">
        <v>1212.9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0.25</v>
      </c>
      <c r="AV81">
        <v>0</v>
      </c>
      <c r="AW81">
        <v>2</v>
      </c>
      <c r="AX81">
        <v>26616621</v>
      </c>
      <c r="AY81">
        <v>1</v>
      </c>
      <c r="AZ81">
        <v>0</v>
      </c>
      <c r="BA81">
        <v>84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Y81*Source!I59</f>
        <v>6.4</v>
      </c>
      <c r="CY81">
        <f>AA81</f>
        <v>1212.9</v>
      </c>
      <c r="CZ81">
        <f>AE81</f>
        <v>1212.9</v>
      </c>
      <c r="DA81">
        <f>AI81</f>
        <v>1</v>
      </c>
      <c r="DB81">
        <v>0</v>
      </c>
    </row>
    <row r="82" spans="1:106" ht="12.75">
      <c r="A82">
        <f>ROW(Source!A62)</f>
        <v>62</v>
      </c>
      <c r="B82">
        <v>26615678</v>
      </c>
      <c r="C82">
        <v>26616002</v>
      </c>
      <c r="D82">
        <v>25674184</v>
      </c>
      <c r="E82">
        <v>25674181</v>
      </c>
      <c r="F82">
        <v>1</v>
      </c>
      <c r="G82">
        <v>25674181</v>
      </c>
      <c r="H82">
        <v>1</v>
      </c>
      <c r="I82" t="s">
        <v>291</v>
      </c>
      <c r="K82" t="s">
        <v>292</v>
      </c>
      <c r="L82">
        <v>1191</v>
      </c>
      <c r="N82">
        <v>1013</v>
      </c>
      <c r="O82" t="s">
        <v>293</v>
      </c>
      <c r="P82" t="s">
        <v>293</v>
      </c>
      <c r="Q82">
        <v>1</v>
      </c>
      <c r="W82">
        <v>0</v>
      </c>
      <c r="X82">
        <v>476480486</v>
      </c>
      <c r="Y82">
        <v>1.99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1.99</v>
      </c>
      <c r="AV82">
        <v>1</v>
      </c>
      <c r="AW82">
        <v>2</v>
      </c>
      <c r="AX82">
        <v>26616009</v>
      </c>
      <c r="AY82">
        <v>1</v>
      </c>
      <c r="AZ82">
        <v>0</v>
      </c>
      <c r="BA82">
        <v>87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Y82*Source!I62</f>
        <v>1.99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ht="12.75">
      <c r="A83">
        <f>ROW(Source!A62)</f>
        <v>62</v>
      </c>
      <c r="B83">
        <v>26615678</v>
      </c>
      <c r="C83">
        <v>26616002</v>
      </c>
      <c r="D83">
        <v>25685390</v>
      </c>
      <c r="E83">
        <v>1</v>
      </c>
      <c r="F83">
        <v>1</v>
      </c>
      <c r="G83">
        <v>25674181</v>
      </c>
      <c r="H83">
        <v>2</v>
      </c>
      <c r="I83" t="s">
        <v>297</v>
      </c>
      <c r="J83" t="s">
        <v>298</v>
      </c>
      <c r="K83" t="s">
        <v>299</v>
      </c>
      <c r="L83">
        <v>1368</v>
      </c>
      <c r="N83">
        <v>1011</v>
      </c>
      <c r="O83" t="s">
        <v>300</v>
      </c>
      <c r="P83" t="s">
        <v>300</v>
      </c>
      <c r="Q83">
        <v>1</v>
      </c>
      <c r="W83">
        <v>0</v>
      </c>
      <c r="X83">
        <v>144256025</v>
      </c>
      <c r="Y83">
        <v>0.15</v>
      </c>
      <c r="AA83">
        <v>0</v>
      </c>
      <c r="AB83">
        <v>32.82</v>
      </c>
      <c r="AC83">
        <v>6.85</v>
      </c>
      <c r="AD83">
        <v>0</v>
      </c>
      <c r="AE83">
        <v>0</v>
      </c>
      <c r="AF83">
        <v>32.82</v>
      </c>
      <c r="AG83">
        <v>6.85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0.15</v>
      </c>
      <c r="AV83">
        <v>0</v>
      </c>
      <c r="AW83">
        <v>2</v>
      </c>
      <c r="AX83">
        <v>26616010</v>
      </c>
      <c r="AY83">
        <v>1</v>
      </c>
      <c r="AZ83">
        <v>0</v>
      </c>
      <c r="BA83">
        <v>88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Y83*Source!I62</f>
        <v>0.15</v>
      </c>
      <c r="CY83">
        <f>AB83</f>
        <v>32.82</v>
      </c>
      <c r="CZ83">
        <f>AF83</f>
        <v>32.82</v>
      </c>
      <c r="DA83">
        <f>AJ83</f>
        <v>1</v>
      </c>
      <c r="DB83">
        <v>0</v>
      </c>
    </row>
    <row r="84" spans="1:106" ht="12.75">
      <c r="A84">
        <f>ROW(Source!A62)</f>
        <v>62</v>
      </c>
      <c r="B84">
        <v>26615678</v>
      </c>
      <c r="C84">
        <v>26616002</v>
      </c>
      <c r="D84">
        <v>25686794</v>
      </c>
      <c r="E84">
        <v>1</v>
      </c>
      <c r="F84">
        <v>1</v>
      </c>
      <c r="G84">
        <v>25674181</v>
      </c>
      <c r="H84">
        <v>3</v>
      </c>
      <c r="I84" t="s">
        <v>314</v>
      </c>
      <c r="J84" t="s">
        <v>315</v>
      </c>
      <c r="K84" t="s">
        <v>316</v>
      </c>
      <c r="L84">
        <v>1348</v>
      </c>
      <c r="N84">
        <v>1013</v>
      </c>
      <c r="O84" t="s">
        <v>67</v>
      </c>
      <c r="P84" t="s">
        <v>67</v>
      </c>
      <c r="Q84">
        <v>1</v>
      </c>
      <c r="W84">
        <v>0</v>
      </c>
      <c r="X84">
        <v>-441702737</v>
      </c>
      <c r="Y84">
        <v>0.00071</v>
      </c>
      <c r="AA84">
        <v>85160.23</v>
      </c>
      <c r="AB84">
        <v>0</v>
      </c>
      <c r="AC84">
        <v>0</v>
      </c>
      <c r="AD84">
        <v>0</v>
      </c>
      <c r="AE84">
        <v>85160.23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0.00071</v>
      </c>
      <c r="AV84">
        <v>0</v>
      </c>
      <c r="AW84">
        <v>2</v>
      </c>
      <c r="AX84">
        <v>26616011</v>
      </c>
      <c r="AY84">
        <v>1</v>
      </c>
      <c r="AZ84">
        <v>0</v>
      </c>
      <c r="BA84">
        <v>89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Y84*Source!I62</f>
        <v>0.00071</v>
      </c>
      <c r="CY84">
        <f>AA84</f>
        <v>85160.23</v>
      </c>
      <c r="CZ84">
        <f>AE84</f>
        <v>85160.23</v>
      </c>
      <c r="DA84">
        <f>AI84</f>
        <v>1</v>
      </c>
      <c r="DB84">
        <v>0</v>
      </c>
    </row>
    <row r="85" spans="1:106" ht="12.75">
      <c r="A85">
        <f>ROW(Source!A62)</f>
        <v>62</v>
      </c>
      <c r="B85">
        <v>26615678</v>
      </c>
      <c r="C85">
        <v>26616002</v>
      </c>
      <c r="D85">
        <v>25687630</v>
      </c>
      <c r="E85">
        <v>1</v>
      </c>
      <c r="F85">
        <v>1</v>
      </c>
      <c r="G85">
        <v>25674181</v>
      </c>
      <c r="H85">
        <v>3</v>
      </c>
      <c r="I85" t="s">
        <v>304</v>
      </c>
      <c r="J85" t="s">
        <v>305</v>
      </c>
      <c r="K85" t="s">
        <v>306</v>
      </c>
      <c r="L85">
        <v>1348</v>
      </c>
      <c r="N85">
        <v>1013</v>
      </c>
      <c r="O85" t="s">
        <v>67</v>
      </c>
      <c r="P85" t="s">
        <v>67</v>
      </c>
      <c r="Q85">
        <v>1</v>
      </c>
      <c r="W85">
        <v>0</v>
      </c>
      <c r="X85">
        <v>-1544492133</v>
      </c>
      <c r="Y85">
        <v>0.00016</v>
      </c>
      <c r="AA85">
        <v>109898.69</v>
      </c>
      <c r="AB85">
        <v>0</v>
      </c>
      <c r="AC85">
        <v>0</v>
      </c>
      <c r="AD85">
        <v>0</v>
      </c>
      <c r="AE85">
        <v>109898.69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0.00016</v>
      </c>
      <c r="AV85">
        <v>0</v>
      </c>
      <c r="AW85">
        <v>2</v>
      </c>
      <c r="AX85">
        <v>26616012</v>
      </c>
      <c r="AY85">
        <v>1</v>
      </c>
      <c r="AZ85">
        <v>0</v>
      </c>
      <c r="BA85">
        <v>90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Y85*Source!I62</f>
        <v>0.00016</v>
      </c>
      <c r="CY85">
        <f>AA85</f>
        <v>109898.69</v>
      </c>
      <c r="CZ85">
        <f>AE85</f>
        <v>109898.69</v>
      </c>
      <c r="DA85">
        <f>AI85</f>
        <v>1</v>
      </c>
      <c r="DB85">
        <v>0</v>
      </c>
    </row>
    <row r="86" spans="1:106" ht="12.75">
      <c r="A86">
        <f>ROW(Source!A62)</f>
        <v>62</v>
      </c>
      <c r="B86">
        <v>26615678</v>
      </c>
      <c r="C86">
        <v>26616002</v>
      </c>
      <c r="D86">
        <v>25692942</v>
      </c>
      <c r="E86">
        <v>1</v>
      </c>
      <c r="F86">
        <v>1</v>
      </c>
      <c r="G86">
        <v>25674181</v>
      </c>
      <c r="H86">
        <v>3</v>
      </c>
      <c r="I86" t="s">
        <v>151</v>
      </c>
      <c r="J86" t="s">
        <v>153</v>
      </c>
      <c r="K86" t="s">
        <v>152</v>
      </c>
      <c r="L86">
        <v>1346</v>
      </c>
      <c r="N86">
        <v>1013</v>
      </c>
      <c r="O86" t="s">
        <v>140</v>
      </c>
      <c r="P86" t="s">
        <v>140</v>
      </c>
      <c r="Q86">
        <v>1</v>
      </c>
      <c r="W86">
        <v>0</v>
      </c>
      <c r="X86">
        <v>378778038</v>
      </c>
      <c r="Y86">
        <v>7.1</v>
      </c>
      <c r="AA86">
        <v>98.44</v>
      </c>
      <c r="AB86">
        <v>0</v>
      </c>
      <c r="AC86">
        <v>0</v>
      </c>
      <c r="AD86">
        <v>0</v>
      </c>
      <c r="AE86">
        <v>98.44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T86">
        <v>7.1</v>
      </c>
      <c r="AV86">
        <v>0</v>
      </c>
      <c r="AW86">
        <v>1</v>
      </c>
      <c r="AX86">
        <v>-1</v>
      </c>
      <c r="AY86">
        <v>0</v>
      </c>
      <c r="AZ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Y86*Source!I62</f>
        <v>7.1</v>
      </c>
      <c r="CY86">
        <f>AA86</f>
        <v>98.44</v>
      </c>
      <c r="CZ86">
        <f>AE86</f>
        <v>98.44</v>
      </c>
      <c r="DA86">
        <f>AI86</f>
        <v>1</v>
      </c>
      <c r="DB86">
        <v>0</v>
      </c>
    </row>
    <row r="87" spans="1:106" ht="12.75">
      <c r="A87">
        <f>ROW(Source!A62)</f>
        <v>62</v>
      </c>
      <c r="B87">
        <v>26615678</v>
      </c>
      <c r="C87">
        <v>26616002</v>
      </c>
      <c r="D87">
        <v>25692934</v>
      </c>
      <c r="E87">
        <v>1</v>
      </c>
      <c r="F87">
        <v>1</v>
      </c>
      <c r="G87">
        <v>25674181</v>
      </c>
      <c r="H87">
        <v>3</v>
      </c>
      <c r="I87" t="s">
        <v>155</v>
      </c>
      <c r="J87" t="s">
        <v>157</v>
      </c>
      <c r="K87" t="s">
        <v>156</v>
      </c>
      <c r="L87">
        <v>1354</v>
      </c>
      <c r="N87">
        <v>1013</v>
      </c>
      <c r="O87" t="s">
        <v>17</v>
      </c>
      <c r="P87" t="s">
        <v>17</v>
      </c>
      <c r="Q87">
        <v>1</v>
      </c>
      <c r="W87">
        <v>1</v>
      </c>
      <c r="X87">
        <v>-2088654977</v>
      </c>
      <c r="Y87">
        <v>-1</v>
      </c>
      <c r="AA87">
        <v>3019.37</v>
      </c>
      <c r="AB87">
        <v>0</v>
      </c>
      <c r="AC87">
        <v>0</v>
      </c>
      <c r="AD87">
        <v>0</v>
      </c>
      <c r="AE87">
        <v>3019.37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-1</v>
      </c>
      <c r="AV87">
        <v>0</v>
      </c>
      <c r="AW87">
        <v>2</v>
      </c>
      <c r="AX87">
        <v>26616013</v>
      </c>
      <c r="AY87">
        <v>1</v>
      </c>
      <c r="AZ87">
        <v>6144</v>
      </c>
      <c r="BA87">
        <v>91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Y87*Source!I62</f>
        <v>-1</v>
      </c>
      <c r="CY87">
        <f>AA87</f>
        <v>3019.37</v>
      </c>
      <c r="CZ87">
        <f>AE87</f>
        <v>3019.37</v>
      </c>
      <c r="DA87">
        <f>AI87</f>
        <v>1</v>
      </c>
      <c r="DB87">
        <v>0</v>
      </c>
    </row>
    <row r="88" spans="1:106" ht="12.75">
      <c r="A88">
        <f>ROW(Source!A62)</f>
        <v>62</v>
      </c>
      <c r="B88">
        <v>26615678</v>
      </c>
      <c r="C88">
        <v>26616002</v>
      </c>
      <c r="D88">
        <v>0</v>
      </c>
      <c r="E88">
        <v>0</v>
      </c>
      <c r="F88">
        <v>1</v>
      </c>
      <c r="G88">
        <v>25674181</v>
      </c>
      <c r="H88">
        <v>3</v>
      </c>
      <c r="I88" t="s">
        <v>147</v>
      </c>
      <c r="K88" t="s">
        <v>148</v>
      </c>
      <c r="L88">
        <v>1371</v>
      </c>
      <c r="N88">
        <v>1013</v>
      </c>
      <c r="O88" t="s">
        <v>25</v>
      </c>
      <c r="P88" t="s">
        <v>25</v>
      </c>
      <c r="Q88">
        <v>1</v>
      </c>
      <c r="W88">
        <v>0</v>
      </c>
      <c r="X88">
        <v>1850717941</v>
      </c>
      <c r="Y88">
        <v>1</v>
      </c>
      <c r="AA88">
        <v>1426.27</v>
      </c>
      <c r="AB88">
        <v>0</v>
      </c>
      <c r="AC88">
        <v>0</v>
      </c>
      <c r="AD88">
        <v>0</v>
      </c>
      <c r="AE88">
        <v>1426.27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T88">
        <v>1</v>
      </c>
      <c r="AV88">
        <v>0</v>
      </c>
      <c r="AW88">
        <v>1</v>
      </c>
      <c r="AX88">
        <v>-1</v>
      </c>
      <c r="AY88">
        <v>0</v>
      </c>
      <c r="AZ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Y88*Source!I62</f>
        <v>1</v>
      </c>
      <c r="CY88">
        <f>AA88</f>
        <v>1426.27</v>
      </c>
      <c r="CZ88">
        <f>AE88</f>
        <v>1426.27</v>
      </c>
      <c r="DA88">
        <f>AI88</f>
        <v>1</v>
      </c>
      <c r="DB88">
        <v>0</v>
      </c>
    </row>
    <row r="89" spans="1:106" ht="12.75">
      <c r="A89">
        <f>ROW(Source!A66)</f>
        <v>66</v>
      </c>
      <c r="B89">
        <v>26615678</v>
      </c>
      <c r="C89">
        <v>26616016</v>
      </c>
      <c r="D89">
        <v>25674184</v>
      </c>
      <c r="E89">
        <v>25674181</v>
      </c>
      <c r="F89">
        <v>1</v>
      </c>
      <c r="G89">
        <v>25674181</v>
      </c>
      <c r="H89">
        <v>1</v>
      </c>
      <c r="I89" t="s">
        <v>291</v>
      </c>
      <c r="K89" t="s">
        <v>292</v>
      </c>
      <c r="L89">
        <v>1191</v>
      </c>
      <c r="N89">
        <v>1013</v>
      </c>
      <c r="O89" t="s">
        <v>293</v>
      </c>
      <c r="P89" t="s">
        <v>293</v>
      </c>
      <c r="Q89">
        <v>1</v>
      </c>
      <c r="W89">
        <v>0</v>
      </c>
      <c r="X89">
        <v>476480486</v>
      </c>
      <c r="Y89">
        <v>1.99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1.99</v>
      </c>
      <c r="AV89">
        <v>1</v>
      </c>
      <c r="AW89">
        <v>2</v>
      </c>
      <c r="AX89">
        <v>26616023</v>
      </c>
      <c r="AY89">
        <v>1</v>
      </c>
      <c r="AZ89">
        <v>0</v>
      </c>
      <c r="BA89">
        <v>93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Y89*Source!I66</f>
        <v>13.93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ht="12.75">
      <c r="A90">
        <f>ROW(Source!A66)</f>
        <v>66</v>
      </c>
      <c r="B90">
        <v>26615678</v>
      </c>
      <c r="C90">
        <v>26616016</v>
      </c>
      <c r="D90">
        <v>25685390</v>
      </c>
      <c r="E90">
        <v>1</v>
      </c>
      <c r="F90">
        <v>1</v>
      </c>
      <c r="G90">
        <v>25674181</v>
      </c>
      <c r="H90">
        <v>2</v>
      </c>
      <c r="I90" t="s">
        <v>297</v>
      </c>
      <c r="J90" t="s">
        <v>298</v>
      </c>
      <c r="K90" t="s">
        <v>299</v>
      </c>
      <c r="L90">
        <v>1368</v>
      </c>
      <c r="N90">
        <v>1011</v>
      </c>
      <c r="O90" t="s">
        <v>300</v>
      </c>
      <c r="P90" t="s">
        <v>300</v>
      </c>
      <c r="Q90">
        <v>1</v>
      </c>
      <c r="W90">
        <v>0</v>
      </c>
      <c r="X90">
        <v>144256025</v>
      </c>
      <c r="Y90">
        <v>0.15</v>
      </c>
      <c r="AA90">
        <v>0</v>
      </c>
      <c r="AB90">
        <v>32.82</v>
      </c>
      <c r="AC90">
        <v>6.85</v>
      </c>
      <c r="AD90">
        <v>0</v>
      </c>
      <c r="AE90">
        <v>0</v>
      </c>
      <c r="AF90">
        <v>32.82</v>
      </c>
      <c r="AG90">
        <v>6.85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0.15</v>
      </c>
      <c r="AV90">
        <v>0</v>
      </c>
      <c r="AW90">
        <v>2</v>
      </c>
      <c r="AX90">
        <v>26616024</v>
      </c>
      <c r="AY90">
        <v>1</v>
      </c>
      <c r="AZ90">
        <v>0</v>
      </c>
      <c r="BA90">
        <v>94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Y90*Source!I66</f>
        <v>1.05</v>
      </c>
      <c r="CY90">
        <f>AB90</f>
        <v>32.82</v>
      </c>
      <c r="CZ90">
        <f>AF90</f>
        <v>32.82</v>
      </c>
      <c r="DA90">
        <f>AJ90</f>
        <v>1</v>
      </c>
      <c r="DB90">
        <v>0</v>
      </c>
    </row>
    <row r="91" spans="1:106" ht="12.75">
      <c r="A91">
        <f>ROW(Source!A66)</f>
        <v>66</v>
      </c>
      <c r="B91">
        <v>26615678</v>
      </c>
      <c r="C91">
        <v>26616016</v>
      </c>
      <c r="D91">
        <v>25686794</v>
      </c>
      <c r="E91">
        <v>1</v>
      </c>
      <c r="F91">
        <v>1</v>
      </c>
      <c r="G91">
        <v>25674181</v>
      </c>
      <c r="H91">
        <v>3</v>
      </c>
      <c r="I91" t="s">
        <v>314</v>
      </c>
      <c r="J91" t="s">
        <v>315</v>
      </c>
      <c r="K91" t="s">
        <v>316</v>
      </c>
      <c r="L91">
        <v>1348</v>
      </c>
      <c r="N91">
        <v>1013</v>
      </c>
      <c r="O91" t="s">
        <v>67</v>
      </c>
      <c r="P91" t="s">
        <v>67</v>
      </c>
      <c r="Q91">
        <v>1</v>
      </c>
      <c r="W91">
        <v>0</v>
      </c>
      <c r="X91">
        <v>-441702737</v>
      </c>
      <c r="Y91">
        <v>0.00071</v>
      </c>
      <c r="AA91">
        <v>85160.23</v>
      </c>
      <c r="AB91">
        <v>0</v>
      </c>
      <c r="AC91">
        <v>0</v>
      </c>
      <c r="AD91">
        <v>0</v>
      </c>
      <c r="AE91">
        <v>85160.23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0.00071</v>
      </c>
      <c r="AV91">
        <v>0</v>
      </c>
      <c r="AW91">
        <v>2</v>
      </c>
      <c r="AX91">
        <v>26616025</v>
      </c>
      <c r="AY91">
        <v>1</v>
      </c>
      <c r="AZ91">
        <v>0</v>
      </c>
      <c r="BA91">
        <v>95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Y91*Source!I66</f>
        <v>0.0049700000000000005</v>
      </c>
      <c r="CY91">
        <f>AA91</f>
        <v>85160.23</v>
      </c>
      <c r="CZ91">
        <f>AE91</f>
        <v>85160.23</v>
      </c>
      <c r="DA91">
        <f>AI91</f>
        <v>1</v>
      </c>
      <c r="DB91">
        <v>0</v>
      </c>
    </row>
    <row r="92" spans="1:106" ht="12.75">
      <c r="A92">
        <f>ROW(Source!A66)</f>
        <v>66</v>
      </c>
      <c r="B92">
        <v>26615678</v>
      </c>
      <c r="C92">
        <v>26616016</v>
      </c>
      <c r="D92">
        <v>25687630</v>
      </c>
      <c r="E92">
        <v>1</v>
      </c>
      <c r="F92">
        <v>1</v>
      </c>
      <c r="G92">
        <v>25674181</v>
      </c>
      <c r="H92">
        <v>3</v>
      </c>
      <c r="I92" t="s">
        <v>304</v>
      </c>
      <c r="J92" t="s">
        <v>305</v>
      </c>
      <c r="K92" t="s">
        <v>306</v>
      </c>
      <c r="L92">
        <v>1348</v>
      </c>
      <c r="N92">
        <v>1013</v>
      </c>
      <c r="O92" t="s">
        <v>67</v>
      </c>
      <c r="P92" t="s">
        <v>67</v>
      </c>
      <c r="Q92">
        <v>1</v>
      </c>
      <c r="W92">
        <v>0</v>
      </c>
      <c r="X92">
        <v>-1544492133</v>
      </c>
      <c r="Y92">
        <v>0.00016</v>
      </c>
      <c r="AA92">
        <v>109898.69</v>
      </c>
      <c r="AB92">
        <v>0</v>
      </c>
      <c r="AC92">
        <v>0</v>
      </c>
      <c r="AD92">
        <v>0</v>
      </c>
      <c r="AE92">
        <v>109898.69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0.00016</v>
      </c>
      <c r="AV92">
        <v>0</v>
      </c>
      <c r="AW92">
        <v>2</v>
      </c>
      <c r="AX92">
        <v>26616026</v>
      </c>
      <c r="AY92">
        <v>1</v>
      </c>
      <c r="AZ92">
        <v>0</v>
      </c>
      <c r="BA92">
        <v>96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Y92*Source!I66</f>
        <v>0.0011200000000000001</v>
      </c>
      <c r="CY92">
        <f>AA92</f>
        <v>109898.69</v>
      </c>
      <c r="CZ92">
        <f>AE92</f>
        <v>109898.69</v>
      </c>
      <c r="DA92">
        <f>AI92</f>
        <v>1</v>
      </c>
      <c r="DB92">
        <v>0</v>
      </c>
    </row>
    <row r="93" spans="1:106" ht="12.75">
      <c r="A93">
        <f>ROW(Source!A66)</f>
        <v>66</v>
      </c>
      <c r="B93">
        <v>26615678</v>
      </c>
      <c r="C93">
        <v>26616016</v>
      </c>
      <c r="D93">
        <v>25692942</v>
      </c>
      <c r="E93">
        <v>1</v>
      </c>
      <c r="F93">
        <v>1</v>
      </c>
      <c r="G93">
        <v>25674181</v>
      </c>
      <c r="H93">
        <v>3</v>
      </c>
      <c r="I93" t="s">
        <v>151</v>
      </c>
      <c r="J93" t="s">
        <v>153</v>
      </c>
      <c r="K93" t="s">
        <v>152</v>
      </c>
      <c r="L93">
        <v>1346</v>
      </c>
      <c r="N93">
        <v>1013</v>
      </c>
      <c r="O93" t="s">
        <v>140</v>
      </c>
      <c r="P93" t="s">
        <v>140</v>
      </c>
      <c r="Q93">
        <v>1</v>
      </c>
      <c r="W93">
        <v>0</v>
      </c>
      <c r="X93">
        <v>378778038</v>
      </c>
      <c r="Y93">
        <v>7</v>
      </c>
      <c r="AA93">
        <v>98.44</v>
      </c>
      <c r="AB93">
        <v>0</v>
      </c>
      <c r="AC93">
        <v>0</v>
      </c>
      <c r="AD93">
        <v>0</v>
      </c>
      <c r="AE93">
        <v>98.44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T93">
        <v>7</v>
      </c>
      <c r="AV93">
        <v>0</v>
      </c>
      <c r="AW93">
        <v>1</v>
      </c>
      <c r="AX93">
        <v>-1</v>
      </c>
      <c r="AY93">
        <v>0</v>
      </c>
      <c r="AZ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Y93*Source!I66</f>
        <v>49</v>
      </c>
      <c r="CY93">
        <f>AA93</f>
        <v>98.44</v>
      </c>
      <c r="CZ93">
        <f>AE93</f>
        <v>98.44</v>
      </c>
      <c r="DA93">
        <f>AI93</f>
        <v>1</v>
      </c>
      <c r="DB93">
        <v>0</v>
      </c>
    </row>
    <row r="94" spans="1:106" ht="12.75">
      <c r="A94">
        <f>ROW(Source!A66)</f>
        <v>66</v>
      </c>
      <c r="B94">
        <v>26615678</v>
      </c>
      <c r="C94">
        <v>26616016</v>
      </c>
      <c r="D94">
        <v>25692934</v>
      </c>
      <c r="E94">
        <v>1</v>
      </c>
      <c r="F94">
        <v>1</v>
      </c>
      <c r="G94">
        <v>25674181</v>
      </c>
      <c r="H94">
        <v>3</v>
      </c>
      <c r="I94" t="s">
        <v>155</v>
      </c>
      <c r="J94" t="s">
        <v>157</v>
      </c>
      <c r="K94" t="s">
        <v>357</v>
      </c>
      <c r="L94">
        <v>1354</v>
      </c>
      <c r="N94">
        <v>1013</v>
      </c>
      <c r="O94" t="s">
        <v>17</v>
      </c>
      <c r="P94" t="s">
        <v>17</v>
      </c>
      <c r="Q94">
        <v>1</v>
      </c>
      <c r="W94">
        <v>0</v>
      </c>
      <c r="X94">
        <v>1696272956</v>
      </c>
      <c r="Y94">
        <v>1</v>
      </c>
      <c r="AA94">
        <v>3019.37</v>
      </c>
      <c r="AB94">
        <v>0</v>
      </c>
      <c r="AC94">
        <v>0</v>
      </c>
      <c r="AD94">
        <v>0</v>
      </c>
      <c r="AE94">
        <v>3019.37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1</v>
      </c>
      <c r="AV94">
        <v>0</v>
      </c>
      <c r="AW94">
        <v>2</v>
      </c>
      <c r="AX94">
        <v>26616027</v>
      </c>
      <c r="AY94">
        <v>1</v>
      </c>
      <c r="AZ94">
        <v>0</v>
      </c>
      <c r="BA94">
        <v>97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Y94*Source!I66</f>
        <v>7</v>
      </c>
      <c r="CY94">
        <f>AA94</f>
        <v>3019.37</v>
      </c>
      <c r="CZ94">
        <f>AE94</f>
        <v>3019.37</v>
      </c>
      <c r="DA94">
        <f>AI94</f>
        <v>1</v>
      </c>
      <c r="DB94">
        <v>0</v>
      </c>
    </row>
    <row r="95" spans="1:106" ht="12.75">
      <c r="A95">
        <f>ROW(Source!A68)</f>
        <v>68</v>
      </c>
      <c r="B95">
        <v>26615678</v>
      </c>
      <c r="C95">
        <v>26616030</v>
      </c>
      <c r="D95">
        <v>25674184</v>
      </c>
      <c r="E95">
        <v>25674181</v>
      </c>
      <c r="F95">
        <v>1</v>
      </c>
      <c r="G95">
        <v>25674181</v>
      </c>
      <c r="H95">
        <v>1</v>
      </c>
      <c r="I95" t="s">
        <v>291</v>
      </c>
      <c r="K95" t="s">
        <v>292</v>
      </c>
      <c r="L95">
        <v>1191</v>
      </c>
      <c r="N95">
        <v>1013</v>
      </c>
      <c r="O95" t="s">
        <v>293</v>
      </c>
      <c r="P95" t="s">
        <v>293</v>
      </c>
      <c r="Q95">
        <v>1</v>
      </c>
      <c r="W95">
        <v>0</v>
      </c>
      <c r="X95">
        <v>476480486</v>
      </c>
      <c r="Y95">
        <v>2.85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2.85</v>
      </c>
      <c r="AV95">
        <v>1</v>
      </c>
      <c r="AW95">
        <v>2</v>
      </c>
      <c r="AX95">
        <v>26616037</v>
      </c>
      <c r="AY95">
        <v>1</v>
      </c>
      <c r="AZ95">
        <v>0</v>
      </c>
      <c r="BA95">
        <v>99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Y95*Source!I68</f>
        <v>5.7</v>
      </c>
      <c r="CY95">
        <f>AD95</f>
        <v>0</v>
      </c>
      <c r="CZ95">
        <f>AH95</f>
        <v>0</v>
      </c>
      <c r="DA95">
        <f>AL95</f>
        <v>1</v>
      </c>
      <c r="DB95">
        <v>0</v>
      </c>
    </row>
    <row r="96" spans="1:106" ht="12.75">
      <c r="A96">
        <f>ROW(Source!A68)</f>
        <v>68</v>
      </c>
      <c r="B96">
        <v>26615678</v>
      </c>
      <c r="C96">
        <v>26616030</v>
      </c>
      <c r="D96">
        <v>25685390</v>
      </c>
      <c r="E96">
        <v>1</v>
      </c>
      <c r="F96">
        <v>1</v>
      </c>
      <c r="G96">
        <v>25674181</v>
      </c>
      <c r="H96">
        <v>2</v>
      </c>
      <c r="I96" t="s">
        <v>297</v>
      </c>
      <c r="J96" t="s">
        <v>298</v>
      </c>
      <c r="K96" t="s">
        <v>299</v>
      </c>
      <c r="L96">
        <v>1368</v>
      </c>
      <c r="N96">
        <v>1011</v>
      </c>
      <c r="O96" t="s">
        <v>300</v>
      </c>
      <c r="P96" t="s">
        <v>300</v>
      </c>
      <c r="Q96">
        <v>1</v>
      </c>
      <c r="W96">
        <v>0</v>
      </c>
      <c r="X96">
        <v>144256025</v>
      </c>
      <c r="Y96">
        <v>0.15</v>
      </c>
      <c r="AA96">
        <v>0</v>
      </c>
      <c r="AB96">
        <v>32.82</v>
      </c>
      <c r="AC96">
        <v>6.85</v>
      </c>
      <c r="AD96">
        <v>0</v>
      </c>
      <c r="AE96">
        <v>0</v>
      </c>
      <c r="AF96">
        <v>32.82</v>
      </c>
      <c r="AG96">
        <v>6.85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0.15</v>
      </c>
      <c r="AV96">
        <v>0</v>
      </c>
      <c r="AW96">
        <v>2</v>
      </c>
      <c r="AX96">
        <v>26616038</v>
      </c>
      <c r="AY96">
        <v>1</v>
      </c>
      <c r="AZ96">
        <v>0</v>
      </c>
      <c r="BA96">
        <v>100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Y96*Source!I68</f>
        <v>0.3</v>
      </c>
      <c r="CY96">
        <f>AB96</f>
        <v>32.82</v>
      </c>
      <c r="CZ96">
        <f>AF96</f>
        <v>32.82</v>
      </c>
      <c r="DA96">
        <f>AJ96</f>
        <v>1</v>
      </c>
      <c r="DB96">
        <v>0</v>
      </c>
    </row>
    <row r="97" spans="1:106" ht="12.75">
      <c r="A97">
        <f>ROW(Source!A68)</f>
        <v>68</v>
      </c>
      <c r="B97">
        <v>26615678</v>
      </c>
      <c r="C97">
        <v>26616030</v>
      </c>
      <c r="D97">
        <v>25686794</v>
      </c>
      <c r="E97">
        <v>1</v>
      </c>
      <c r="F97">
        <v>1</v>
      </c>
      <c r="G97">
        <v>25674181</v>
      </c>
      <c r="H97">
        <v>3</v>
      </c>
      <c r="I97" t="s">
        <v>314</v>
      </c>
      <c r="J97" t="s">
        <v>315</v>
      </c>
      <c r="K97" t="s">
        <v>316</v>
      </c>
      <c r="L97">
        <v>1348</v>
      </c>
      <c r="N97">
        <v>1013</v>
      </c>
      <c r="O97" t="s">
        <v>67</v>
      </c>
      <c r="P97" t="s">
        <v>67</v>
      </c>
      <c r="Q97">
        <v>1</v>
      </c>
      <c r="W97">
        <v>0</v>
      </c>
      <c r="X97">
        <v>-441702737</v>
      </c>
      <c r="Y97">
        <v>0.00071</v>
      </c>
      <c r="AA97">
        <v>85160.23</v>
      </c>
      <c r="AB97">
        <v>0</v>
      </c>
      <c r="AC97">
        <v>0</v>
      </c>
      <c r="AD97">
        <v>0</v>
      </c>
      <c r="AE97">
        <v>85160.23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0.00071</v>
      </c>
      <c r="AV97">
        <v>0</v>
      </c>
      <c r="AW97">
        <v>2</v>
      </c>
      <c r="AX97">
        <v>26616039</v>
      </c>
      <c r="AY97">
        <v>1</v>
      </c>
      <c r="AZ97">
        <v>0</v>
      </c>
      <c r="BA97">
        <v>101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Y97*Source!I68</f>
        <v>0.00142</v>
      </c>
      <c r="CY97">
        <f>AA97</f>
        <v>85160.23</v>
      </c>
      <c r="CZ97">
        <f>AE97</f>
        <v>85160.23</v>
      </c>
      <c r="DA97">
        <f>AI97</f>
        <v>1</v>
      </c>
      <c r="DB97">
        <v>0</v>
      </c>
    </row>
    <row r="98" spans="1:106" ht="12.75">
      <c r="A98">
        <f>ROW(Source!A68)</f>
        <v>68</v>
      </c>
      <c r="B98">
        <v>26615678</v>
      </c>
      <c r="C98">
        <v>26616030</v>
      </c>
      <c r="D98">
        <v>25687630</v>
      </c>
      <c r="E98">
        <v>1</v>
      </c>
      <c r="F98">
        <v>1</v>
      </c>
      <c r="G98">
        <v>25674181</v>
      </c>
      <c r="H98">
        <v>3</v>
      </c>
      <c r="I98" t="s">
        <v>304</v>
      </c>
      <c r="J98" t="s">
        <v>305</v>
      </c>
      <c r="K98" t="s">
        <v>306</v>
      </c>
      <c r="L98">
        <v>1348</v>
      </c>
      <c r="N98">
        <v>1013</v>
      </c>
      <c r="O98" t="s">
        <v>67</v>
      </c>
      <c r="P98" t="s">
        <v>67</v>
      </c>
      <c r="Q98">
        <v>1</v>
      </c>
      <c r="W98">
        <v>0</v>
      </c>
      <c r="X98">
        <v>-1544492133</v>
      </c>
      <c r="Y98">
        <v>0.00019</v>
      </c>
      <c r="AA98">
        <v>109898.69</v>
      </c>
      <c r="AB98">
        <v>0</v>
      </c>
      <c r="AC98">
        <v>0</v>
      </c>
      <c r="AD98">
        <v>0</v>
      </c>
      <c r="AE98">
        <v>109898.69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0.00019</v>
      </c>
      <c r="AV98">
        <v>0</v>
      </c>
      <c r="AW98">
        <v>2</v>
      </c>
      <c r="AX98">
        <v>26616040</v>
      </c>
      <c r="AY98">
        <v>1</v>
      </c>
      <c r="AZ98">
        <v>0</v>
      </c>
      <c r="BA98">
        <v>102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Y98*Source!I68</f>
        <v>0.00038</v>
      </c>
      <c r="CY98">
        <f>AA98</f>
        <v>109898.69</v>
      </c>
      <c r="CZ98">
        <f>AE98</f>
        <v>109898.69</v>
      </c>
      <c r="DA98">
        <f>AI98</f>
        <v>1</v>
      </c>
      <c r="DB98">
        <v>0</v>
      </c>
    </row>
    <row r="99" spans="1:106" ht="12.75">
      <c r="A99">
        <f>ROW(Source!A68)</f>
        <v>68</v>
      </c>
      <c r="B99">
        <v>26615678</v>
      </c>
      <c r="C99">
        <v>26616030</v>
      </c>
      <c r="D99">
        <v>25692942</v>
      </c>
      <c r="E99">
        <v>1</v>
      </c>
      <c r="F99">
        <v>1</v>
      </c>
      <c r="G99">
        <v>25674181</v>
      </c>
      <c r="H99">
        <v>3</v>
      </c>
      <c r="I99" t="s">
        <v>151</v>
      </c>
      <c r="J99" t="s">
        <v>153</v>
      </c>
      <c r="K99" t="s">
        <v>152</v>
      </c>
      <c r="L99">
        <v>1346</v>
      </c>
      <c r="N99">
        <v>1013</v>
      </c>
      <c r="O99" t="s">
        <v>140</v>
      </c>
      <c r="P99" t="s">
        <v>140</v>
      </c>
      <c r="Q99">
        <v>1</v>
      </c>
      <c r="W99">
        <v>0</v>
      </c>
      <c r="X99">
        <v>378778038</v>
      </c>
      <c r="Y99">
        <v>7</v>
      </c>
      <c r="AA99">
        <v>98.44</v>
      </c>
      <c r="AB99">
        <v>0</v>
      </c>
      <c r="AC99">
        <v>0</v>
      </c>
      <c r="AD99">
        <v>0</v>
      </c>
      <c r="AE99">
        <v>98.44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T99">
        <v>7</v>
      </c>
      <c r="AV99">
        <v>0</v>
      </c>
      <c r="AW99">
        <v>1</v>
      </c>
      <c r="AX99">
        <v>-1</v>
      </c>
      <c r="AY99">
        <v>0</v>
      </c>
      <c r="AZ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Y99*Source!I68</f>
        <v>14</v>
      </c>
      <c r="CY99">
        <f>AA99</f>
        <v>98.44</v>
      </c>
      <c r="CZ99">
        <f>AE99</f>
        <v>98.44</v>
      </c>
      <c r="DA99">
        <f>AI99</f>
        <v>1</v>
      </c>
      <c r="DB99">
        <v>0</v>
      </c>
    </row>
    <row r="100" spans="1:106" ht="12.75">
      <c r="A100">
        <f>ROW(Source!A68)</f>
        <v>68</v>
      </c>
      <c r="B100">
        <v>26615678</v>
      </c>
      <c r="C100">
        <v>26616030</v>
      </c>
      <c r="D100">
        <v>25692933</v>
      </c>
      <c r="E100">
        <v>1</v>
      </c>
      <c r="F100">
        <v>1</v>
      </c>
      <c r="G100">
        <v>25674181</v>
      </c>
      <c r="H100">
        <v>3</v>
      </c>
      <c r="I100" t="s">
        <v>358</v>
      </c>
      <c r="J100" t="s">
        <v>359</v>
      </c>
      <c r="K100" t="s">
        <v>360</v>
      </c>
      <c r="L100">
        <v>1354</v>
      </c>
      <c r="N100">
        <v>1013</v>
      </c>
      <c r="O100" t="s">
        <v>17</v>
      </c>
      <c r="P100" t="s">
        <v>17</v>
      </c>
      <c r="Q100">
        <v>1</v>
      </c>
      <c r="W100">
        <v>0</v>
      </c>
      <c r="X100">
        <v>581673312</v>
      </c>
      <c r="Y100">
        <v>1</v>
      </c>
      <c r="AA100">
        <v>4019.42</v>
      </c>
      <c r="AB100">
        <v>0</v>
      </c>
      <c r="AC100">
        <v>0</v>
      </c>
      <c r="AD100">
        <v>0</v>
      </c>
      <c r="AE100">
        <v>4019.42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1</v>
      </c>
      <c r="AV100">
        <v>0</v>
      </c>
      <c r="AW100">
        <v>2</v>
      </c>
      <c r="AX100">
        <v>26616041</v>
      </c>
      <c r="AY100">
        <v>1</v>
      </c>
      <c r="AZ100">
        <v>0</v>
      </c>
      <c r="BA100">
        <v>103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Y100*Source!I68</f>
        <v>2</v>
      </c>
      <c r="CY100">
        <f>AA100</f>
        <v>4019.42</v>
      </c>
      <c r="CZ100">
        <f>AE100</f>
        <v>4019.42</v>
      </c>
      <c r="DA100">
        <f>AI100</f>
        <v>1</v>
      </c>
      <c r="DB100">
        <v>0</v>
      </c>
    </row>
    <row r="101" spans="1:106" ht="12.75">
      <c r="A101">
        <f>ROW(Source!A70)</f>
        <v>70</v>
      </c>
      <c r="B101">
        <v>26615678</v>
      </c>
      <c r="C101">
        <v>26616044</v>
      </c>
      <c r="D101">
        <v>25674184</v>
      </c>
      <c r="E101">
        <v>25674181</v>
      </c>
      <c r="F101">
        <v>1</v>
      </c>
      <c r="G101">
        <v>25674181</v>
      </c>
      <c r="H101">
        <v>1</v>
      </c>
      <c r="I101" t="s">
        <v>291</v>
      </c>
      <c r="K101" t="s">
        <v>292</v>
      </c>
      <c r="L101">
        <v>1191</v>
      </c>
      <c r="N101">
        <v>1013</v>
      </c>
      <c r="O101" t="s">
        <v>293</v>
      </c>
      <c r="P101" t="s">
        <v>293</v>
      </c>
      <c r="Q101">
        <v>1</v>
      </c>
      <c r="W101">
        <v>0</v>
      </c>
      <c r="X101">
        <v>476480486</v>
      </c>
      <c r="Y101">
        <v>3.5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3.5</v>
      </c>
      <c r="AV101">
        <v>1</v>
      </c>
      <c r="AW101">
        <v>2</v>
      </c>
      <c r="AX101">
        <v>26616051</v>
      </c>
      <c r="AY101">
        <v>1</v>
      </c>
      <c r="AZ101">
        <v>0</v>
      </c>
      <c r="BA101">
        <v>105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Y101*Source!I70</f>
        <v>10.5</v>
      </c>
      <c r="CY101">
        <f>AD101</f>
        <v>0</v>
      </c>
      <c r="CZ101">
        <f>AH101</f>
        <v>0</v>
      </c>
      <c r="DA101">
        <f>AL101</f>
        <v>1</v>
      </c>
      <c r="DB101">
        <v>0</v>
      </c>
    </row>
    <row r="102" spans="1:106" ht="12.75">
      <c r="A102">
        <f>ROW(Source!A70)</f>
        <v>70</v>
      </c>
      <c r="B102">
        <v>26615678</v>
      </c>
      <c r="C102">
        <v>26616044</v>
      </c>
      <c r="D102">
        <v>25685390</v>
      </c>
      <c r="E102">
        <v>1</v>
      </c>
      <c r="F102">
        <v>1</v>
      </c>
      <c r="G102">
        <v>25674181</v>
      </c>
      <c r="H102">
        <v>2</v>
      </c>
      <c r="I102" t="s">
        <v>297</v>
      </c>
      <c r="J102" t="s">
        <v>298</v>
      </c>
      <c r="K102" t="s">
        <v>299</v>
      </c>
      <c r="L102">
        <v>1368</v>
      </c>
      <c r="N102">
        <v>1011</v>
      </c>
      <c r="O102" t="s">
        <v>300</v>
      </c>
      <c r="P102" t="s">
        <v>300</v>
      </c>
      <c r="Q102">
        <v>1</v>
      </c>
      <c r="W102">
        <v>0</v>
      </c>
      <c r="X102">
        <v>144256025</v>
      </c>
      <c r="Y102">
        <v>0.15</v>
      </c>
      <c r="AA102">
        <v>0</v>
      </c>
      <c r="AB102">
        <v>32.82</v>
      </c>
      <c r="AC102">
        <v>6.85</v>
      </c>
      <c r="AD102">
        <v>0</v>
      </c>
      <c r="AE102">
        <v>0</v>
      </c>
      <c r="AF102">
        <v>32.82</v>
      </c>
      <c r="AG102">
        <v>6.85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0.15</v>
      </c>
      <c r="AV102">
        <v>0</v>
      </c>
      <c r="AW102">
        <v>2</v>
      </c>
      <c r="AX102">
        <v>26616052</v>
      </c>
      <c r="AY102">
        <v>1</v>
      </c>
      <c r="AZ102">
        <v>0</v>
      </c>
      <c r="BA102">
        <v>106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Y102*Source!I70</f>
        <v>0.44999999999999996</v>
      </c>
      <c r="CY102">
        <f>AB102</f>
        <v>32.82</v>
      </c>
      <c r="CZ102">
        <f>AF102</f>
        <v>32.82</v>
      </c>
      <c r="DA102">
        <f>AJ102</f>
        <v>1</v>
      </c>
      <c r="DB102">
        <v>0</v>
      </c>
    </row>
    <row r="103" spans="1:106" ht="12.75">
      <c r="A103">
        <f>ROW(Source!A70)</f>
        <v>70</v>
      </c>
      <c r="B103">
        <v>26615678</v>
      </c>
      <c r="C103">
        <v>26616044</v>
      </c>
      <c r="D103">
        <v>25686794</v>
      </c>
      <c r="E103">
        <v>1</v>
      </c>
      <c r="F103">
        <v>1</v>
      </c>
      <c r="G103">
        <v>25674181</v>
      </c>
      <c r="H103">
        <v>3</v>
      </c>
      <c r="I103" t="s">
        <v>314</v>
      </c>
      <c r="J103" t="s">
        <v>315</v>
      </c>
      <c r="K103" t="s">
        <v>316</v>
      </c>
      <c r="L103">
        <v>1348</v>
      </c>
      <c r="N103">
        <v>1013</v>
      </c>
      <c r="O103" t="s">
        <v>67</v>
      </c>
      <c r="P103" t="s">
        <v>67</v>
      </c>
      <c r="Q103">
        <v>1</v>
      </c>
      <c r="W103">
        <v>0</v>
      </c>
      <c r="X103">
        <v>-441702737</v>
      </c>
      <c r="Y103">
        <v>0.00071</v>
      </c>
      <c r="AA103">
        <v>85160.23</v>
      </c>
      <c r="AB103">
        <v>0</v>
      </c>
      <c r="AC103">
        <v>0</v>
      </c>
      <c r="AD103">
        <v>0</v>
      </c>
      <c r="AE103">
        <v>85160.23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0.00071</v>
      </c>
      <c r="AV103">
        <v>0</v>
      </c>
      <c r="AW103">
        <v>2</v>
      </c>
      <c r="AX103">
        <v>26616053</v>
      </c>
      <c r="AY103">
        <v>1</v>
      </c>
      <c r="AZ103">
        <v>0</v>
      </c>
      <c r="BA103">
        <v>107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Y103*Source!I70</f>
        <v>0.00213</v>
      </c>
      <c r="CY103">
        <f>AA103</f>
        <v>85160.23</v>
      </c>
      <c r="CZ103">
        <f>AE103</f>
        <v>85160.23</v>
      </c>
      <c r="DA103">
        <f>AI103</f>
        <v>1</v>
      </c>
      <c r="DB103">
        <v>0</v>
      </c>
    </row>
    <row r="104" spans="1:106" ht="12.75">
      <c r="A104">
        <f>ROW(Source!A70)</f>
        <v>70</v>
      </c>
      <c r="B104">
        <v>26615678</v>
      </c>
      <c r="C104">
        <v>26616044</v>
      </c>
      <c r="D104">
        <v>25687630</v>
      </c>
      <c r="E104">
        <v>1</v>
      </c>
      <c r="F104">
        <v>1</v>
      </c>
      <c r="G104">
        <v>25674181</v>
      </c>
      <c r="H104">
        <v>3</v>
      </c>
      <c r="I104" t="s">
        <v>304</v>
      </c>
      <c r="J104" t="s">
        <v>305</v>
      </c>
      <c r="K104" t="s">
        <v>306</v>
      </c>
      <c r="L104">
        <v>1348</v>
      </c>
      <c r="N104">
        <v>1013</v>
      </c>
      <c r="O104" t="s">
        <v>67</v>
      </c>
      <c r="P104" t="s">
        <v>67</v>
      </c>
      <c r="Q104">
        <v>1</v>
      </c>
      <c r="W104">
        <v>0</v>
      </c>
      <c r="X104">
        <v>-1544492133</v>
      </c>
      <c r="Y104">
        <v>0.0002</v>
      </c>
      <c r="AA104">
        <v>109898.69</v>
      </c>
      <c r="AB104">
        <v>0</v>
      </c>
      <c r="AC104">
        <v>0</v>
      </c>
      <c r="AD104">
        <v>0</v>
      </c>
      <c r="AE104">
        <v>109898.69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0.0002</v>
      </c>
      <c r="AV104">
        <v>0</v>
      </c>
      <c r="AW104">
        <v>2</v>
      </c>
      <c r="AX104">
        <v>26616054</v>
      </c>
      <c r="AY104">
        <v>1</v>
      </c>
      <c r="AZ104">
        <v>0</v>
      </c>
      <c r="BA104">
        <v>108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Y104*Source!I70</f>
        <v>0.0006000000000000001</v>
      </c>
      <c r="CY104">
        <f>AA104</f>
        <v>109898.69</v>
      </c>
      <c r="CZ104">
        <f>AE104</f>
        <v>109898.69</v>
      </c>
      <c r="DA104">
        <f>AI104</f>
        <v>1</v>
      </c>
      <c r="DB104">
        <v>0</v>
      </c>
    </row>
    <row r="105" spans="1:106" ht="12.75">
      <c r="A105">
        <f>ROW(Source!A70)</f>
        <v>70</v>
      </c>
      <c r="B105">
        <v>26615678</v>
      </c>
      <c r="C105">
        <v>26616044</v>
      </c>
      <c r="D105">
        <v>25692942</v>
      </c>
      <c r="E105">
        <v>1</v>
      </c>
      <c r="F105">
        <v>1</v>
      </c>
      <c r="G105">
        <v>25674181</v>
      </c>
      <c r="H105">
        <v>3</v>
      </c>
      <c r="I105" t="s">
        <v>151</v>
      </c>
      <c r="J105" t="s">
        <v>153</v>
      </c>
      <c r="K105" t="s">
        <v>152</v>
      </c>
      <c r="L105">
        <v>1346</v>
      </c>
      <c r="N105">
        <v>1013</v>
      </c>
      <c r="O105" t="s">
        <v>140</v>
      </c>
      <c r="P105" t="s">
        <v>140</v>
      </c>
      <c r="Q105">
        <v>1</v>
      </c>
      <c r="W105">
        <v>0</v>
      </c>
      <c r="X105">
        <v>378778038</v>
      </c>
      <c r="Y105">
        <v>7</v>
      </c>
      <c r="AA105">
        <v>98.44</v>
      </c>
      <c r="AB105">
        <v>0</v>
      </c>
      <c r="AC105">
        <v>0</v>
      </c>
      <c r="AD105">
        <v>0</v>
      </c>
      <c r="AE105">
        <v>98.44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T105">
        <v>7</v>
      </c>
      <c r="AV105">
        <v>0</v>
      </c>
      <c r="AW105">
        <v>1</v>
      </c>
      <c r="AX105">
        <v>-1</v>
      </c>
      <c r="AY105">
        <v>0</v>
      </c>
      <c r="AZ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Y105*Source!I70</f>
        <v>21</v>
      </c>
      <c r="CY105">
        <f>AA105</f>
        <v>98.44</v>
      </c>
      <c r="CZ105">
        <f>AE105</f>
        <v>98.44</v>
      </c>
      <c r="DA105">
        <f>AI105</f>
        <v>1</v>
      </c>
      <c r="DB105">
        <v>0</v>
      </c>
    </row>
    <row r="106" spans="1:106" ht="12.75">
      <c r="A106">
        <f>ROW(Source!A70)</f>
        <v>70</v>
      </c>
      <c r="B106">
        <v>26615678</v>
      </c>
      <c r="C106">
        <v>26616044</v>
      </c>
      <c r="D106">
        <v>25692932</v>
      </c>
      <c r="E106">
        <v>1</v>
      </c>
      <c r="F106">
        <v>1</v>
      </c>
      <c r="G106">
        <v>25674181</v>
      </c>
      <c r="H106">
        <v>3</v>
      </c>
      <c r="I106" t="s">
        <v>361</v>
      </c>
      <c r="J106" t="s">
        <v>362</v>
      </c>
      <c r="K106" t="s">
        <v>363</v>
      </c>
      <c r="L106">
        <v>1354</v>
      </c>
      <c r="N106">
        <v>1013</v>
      </c>
      <c r="O106" t="s">
        <v>17</v>
      </c>
      <c r="P106" t="s">
        <v>17</v>
      </c>
      <c r="Q106">
        <v>1</v>
      </c>
      <c r="W106">
        <v>0</v>
      </c>
      <c r="X106">
        <v>1731261631</v>
      </c>
      <c r="Y106">
        <v>1</v>
      </c>
      <c r="AA106">
        <v>4433.98</v>
      </c>
      <c r="AB106">
        <v>0</v>
      </c>
      <c r="AC106">
        <v>0</v>
      </c>
      <c r="AD106">
        <v>0</v>
      </c>
      <c r="AE106">
        <v>4433.98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1</v>
      </c>
      <c r="AV106">
        <v>0</v>
      </c>
      <c r="AW106">
        <v>2</v>
      </c>
      <c r="AX106">
        <v>26616055</v>
      </c>
      <c r="AY106">
        <v>1</v>
      </c>
      <c r="AZ106">
        <v>0</v>
      </c>
      <c r="BA106">
        <v>109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Y106*Source!I70</f>
        <v>3</v>
      </c>
      <c r="CY106">
        <f>AA106</f>
        <v>4433.98</v>
      </c>
      <c r="CZ106">
        <f>AE106</f>
        <v>4433.98</v>
      </c>
      <c r="DA106">
        <f>AI106</f>
        <v>1</v>
      </c>
      <c r="DB106">
        <v>0</v>
      </c>
    </row>
    <row r="107" spans="1:106" ht="12.75">
      <c r="A107">
        <f>ROW(Source!A72)</f>
        <v>72</v>
      </c>
      <c r="B107">
        <v>26615678</v>
      </c>
      <c r="C107">
        <v>26616058</v>
      </c>
      <c r="D107">
        <v>25674184</v>
      </c>
      <c r="E107">
        <v>25674181</v>
      </c>
      <c r="F107">
        <v>1</v>
      </c>
      <c r="G107">
        <v>25674181</v>
      </c>
      <c r="H107">
        <v>1</v>
      </c>
      <c r="I107" t="s">
        <v>291</v>
      </c>
      <c r="K107" t="s">
        <v>292</v>
      </c>
      <c r="L107">
        <v>1191</v>
      </c>
      <c r="N107">
        <v>1013</v>
      </c>
      <c r="O107" t="s">
        <v>293</v>
      </c>
      <c r="P107" t="s">
        <v>293</v>
      </c>
      <c r="Q107">
        <v>1</v>
      </c>
      <c r="W107">
        <v>0</v>
      </c>
      <c r="X107">
        <v>476480486</v>
      </c>
      <c r="Y107">
        <v>3.5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3.5</v>
      </c>
      <c r="AV107">
        <v>1</v>
      </c>
      <c r="AW107">
        <v>2</v>
      </c>
      <c r="AX107">
        <v>26616065</v>
      </c>
      <c r="AY107">
        <v>1</v>
      </c>
      <c r="AZ107">
        <v>0</v>
      </c>
      <c r="BA107">
        <v>111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Y107*Source!I72</f>
        <v>35</v>
      </c>
      <c r="CY107">
        <f>AD107</f>
        <v>0</v>
      </c>
      <c r="CZ107">
        <f>AH107</f>
        <v>0</v>
      </c>
      <c r="DA107">
        <f>AL107</f>
        <v>1</v>
      </c>
      <c r="DB107">
        <v>0</v>
      </c>
    </row>
    <row r="108" spans="1:106" ht="12.75">
      <c r="A108">
        <f>ROW(Source!A72)</f>
        <v>72</v>
      </c>
      <c r="B108">
        <v>26615678</v>
      </c>
      <c r="C108">
        <v>26616058</v>
      </c>
      <c r="D108">
        <v>25685390</v>
      </c>
      <c r="E108">
        <v>1</v>
      </c>
      <c r="F108">
        <v>1</v>
      </c>
      <c r="G108">
        <v>25674181</v>
      </c>
      <c r="H108">
        <v>2</v>
      </c>
      <c r="I108" t="s">
        <v>297</v>
      </c>
      <c r="J108" t="s">
        <v>298</v>
      </c>
      <c r="K108" t="s">
        <v>299</v>
      </c>
      <c r="L108">
        <v>1368</v>
      </c>
      <c r="N108">
        <v>1011</v>
      </c>
      <c r="O108" t="s">
        <v>300</v>
      </c>
      <c r="P108" t="s">
        <v>300</v>
      </c>
      <c r="Q108">
        <v>1</v>
      </c>
      <c r="W108">
        <v>0</v>
      </c>
      <c r="X108">
        <v>144256025</v>
      </c>
      <c r="Y108">
        <v>0.15</v>
      </c>
      <c r="AA108">
        <v>0</v>
      </c>
      <c r="AB108">
        <v>32.82</v>
      </c>
      <c r="AC108">
        <v>6.85</v>
      </c>
      <c r="AD108">
        <v>0</v>
      </c>
      <c r="AE108">
        <v>0</v>
      </c>
      <c r="AF108">
        <v>32.82</v>
      </c>
      <c r="AG108">
        <v>6.85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0.15</v>
      </c>
      <c r="AV108">
        <v>0</v>
      </c>
      <c r="AW108">
        <v>2</v>
      </c>
      <c r="AX108">
        <v>26616066</v>
      </c>
      <c r="AY108">
        <v>1</v>
      </c>
      <c r="AZ108">
        <v>0</v>
      </c>
      <c r="BA108">
        <v>112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Y108*Source!I72</f>
        <v>1.5</v>
      </c>
      <c r="CY108">
        <f>AB108</f>
        <v>32.82</v>
      </c>
      <c r="CZ108">
        <f>AF108</f>
        <v>32.82</v>
      </c>
      <c r="DA108">
        <f>AJ108</f>
        <v>1</v>
      </c>
      <c r="DB108">
        <v>0</v>
      </c>
    </row>
    <row r="109" spans="1:106" ht="12.75">
      <c r="A109">
        <f>ROW(Source!A72)</f>
        <v>72</v>
      </c>
      <c r="B109">
        <v>26615678</v>
      </c>
      <c r="C109">
        <v>26616058</v>
      </c>
      <c r="D109">
        <v>25686794</v>
      </c>
      <c r="E109">
        <v>1</v>
      </c>
      <c r="F109">
        <v>1</v>
      </c>
      <c r="G109">
        <v>25674181</v>
      </c>
      <c r="H109">
        <v>3</v>
      </c>
      <c r="I109" t="s">
        <v>314</v>
      </c>
      <c r="J109" t="s">
        <v>315</v>
      </c>
      <c r="K109" t="s">
        <v>316</v>
      </c>
      <c r="L109">
        <v>1348</v>
      </c>
      <c r="N109">
        <v>1013</v>
      </c>
      <c r="O109" t="s">
        <v>67</v>
      </c>
      <c r="P109" t="s">
        <v>67</v>
      </c>
      <c r="Q109">
        <v>1</v>
      </c>
      <c r="W109">
        <v>0</v>
      </c>
      <c r="X109">
        <v>-441702737</v>
      </c>
      <c r="Y109">
        <v>0.00071</v>
      </c>
      <c r="AA109">
        <v>85160.23</v>
      </c>
      <c r="AB109">
        <v>0</v>
      </c>
      <c r="AC109">
        <v>0</v>
      </c>
      <c r="AD109">
        <v>0</v>
      </c>
      <c r="AE109">
        <v>85160.23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0.00071</v>
      </c>
      <c r="AV109">
        <v>0</v>
      </c>
      <c r="AW109">
        <v>2</v>
      </c>
      <c r="AX109">
        <v>26616067</v>
      </c>
      <c r="AY109">
        <v>1</v>
      </c>
      <c r="AZ109">
        <v>0</v>
      </c>
      <c r="BA109">
        <v>113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Y109*Source!I72</f>
        <v>0.0071</v>
      </c>
      <c r="CY109">
        <f>AA109</f>
        <v>85160.23</v>
      </c>
      <c r="CZ109">
        <f>AE109</f>
        <v>85160.23</v>
      </c>
      <c r="DA109">
        <f>AI109</f>
        <v>1</v>
      </c>
      <c r="DB109">
        <v>0</v>
      </c>
    </row>
    <row r="110" spans="1:106" ht="12.75">
      <c r="A110">
        <f>ROW(Source!A72)</f>
        <v>72</v>
      </c>
      <c r="B110">
        <v>26615678</v>
      </c>
      <c r="C110">
        <v>26616058</v>
      </c>
      <c r="D110">
        <v>25687630</v>
      </c>
      <c r="E110">
        <v>1</v>
      </c>
      <c r="F110">
        <v>1</v>
      </c>
      <c r="G110">
        <v>25674181</v>
      </c>
      <c r="H110">
        <v>3</v>
      </c>
      <c r="I110" t="s">
        <v>304</v>
      </c>
      <c r="J110" t="s">
        <v>305</v>
      </c>
      <c r="K110" t="s">
        <v>306</v>
      </c>
      <c r="L110">
        <v>1348</v>
      </c>
      <c r="N110">
        <v>1013</v>
      </c>
      <c r="O110" t="s">
        <v>67</v>
      </c>
      <c r="P110" t="s">
        <v>67</v>
      </c>
      <c r="Q110">
        <v>1</v>
      </c>
      <c r="W110">
        <v>0</v>
      </c>
      <c r="X110">
        <v>-1544492133</v>
      </c>
      <c r="Y110">
        <v>0.0002</v>
      </c>
      <c r="AA110">
        <v>109898.69</v>
      </c>
      <c r="AB110">
        <v>0</v>
      </c>
      <c r="AC110">
        <v>0</v>
      </c>
      <c r="AD110">
        <v>0</v>
      </c>
      <c r="AE110">
        <v>109898.69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0.0002</v>
      </c>
      <c r="AV110">
        <v>0</v>
      </c>
      <c r="AW110">
        <v>2</v>
      </c>
      <c r="AX110">
        <v>26616068</v>
      </c>
      <c r="AY110">
        <v>1</v>
      </c>
      <c r="AZ110">
        <v>0</v>
      </c>
      <c r="BA110">
        <v>114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Y110*Source!I72</f>
        <v>0.002</v>
      </c>
      <c r="CY110">
        <f>AA110</f>
        <v>109898.69</v>
      </c>
      <c r="CZ110">
        <f>AE110</f>
        <v>109898.69</v>
      </c>
      <c r="DA110">
        <f>AI110</f>
        <v>1</v>
      </c>
      <c r="DB110">
        <v>0</v>
      </c>
    </row>
    <row r="111" spans="1:106" ht="12.75">
      <c r="A111">
        <f>ROW(Source!A72)</f>
        <v>72</v>
      </c>
      <c r="B111">
        <v>26615678</v>
      </c>
      <c r="C111">
        <v>26616058</v>
      </c>
      <c r="D111">
        <v>25692942</v>
      </c>
      <c r="E111">
        <v>1</v>
      </c>
      <c r="F111">
        <v>1</v>
      </c>
      <c r="G111">
        <v>25674181</v>
      </c>
      <c r="H111">
        <v>3</v>
      </c>
      <c r="I111" t="s">
        <v>151</v>
      </c>
      <c r="J111" t="s">
        <v>153</v>
      </c>
      <c r="K111" t="s">
        <v>152</v>
      </c>
      <c r="L111">
        <v>1346</v>
      </c>
      <c r="N111">
        <v>1013</v>
      </c>
      <c r="O111" t="s">
        <v>140</v>
      </c>
      <c r="P111" t="s">
        <v>140</v>
      </c>
      <c r="Q111">
        <v>1</v>
      </c>
      <c r="W111">
        <v>0</v>
      </c>
      <c r="X111">
        <v>378778038</v>
      </c>
      <c r="Y111">
        <v>7.1</v>
      </c>
      <c r="AA111">
        <v>98.44</v>
      </c>
      <c r="AB111">
        <v>0</v>
      </c>
      <c r="AC111">
        <v>0</v>
      </c>
      <c r="AD111">
        <v>0</v>
      </c>
      <c r="AE111">
        <v>98.44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T111">
        <v>7.1</v>
      </c>
      <c r="AV111">
        <v>0</v>
      </c>
      <c r="AW111">
        <v>1</v>
      </c>
      <c r="AX111">
        <v>-1</v>
      </c>
      <c r="AY111">
        <v>0</v>
      </c>
      <c r="AZ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Y111*Source!I72</f>
        <v>71</v>
      </c>
      <c r="CY111">
        <f>AA111</f>
        <v>98.44</v>
      </c>
      <c r="CZ111">
        <f>AE111</f>
        <v>98.44</v>
      </c>
      <c r="DA111">
        <f>AI111</f>
        <v>1</v>
      </c>
      <c r="DB111">
        <v>0</v>
      </c>
    </row>
    <row r="112" spans="1:106" ht="12.75">
      <c r="A112">
        <f>ROW(Source!A72)</f>
        <v>72</v>
      </c>
      <c r="B112">
        <v>26615678</v>
      </c>
      <c r="C112">
        <v>26616058</v>
      </c>
      <c r="D112">
        <v>25692932</v>
      </c>
      <c r="E112">
        <v>1</v>
      </c>
      <c r="F112">
        <v>1</v>
      </c>
      <c r="G112">
        <v>25674181</v>
      </c>
      <c r="H112">
        <v>3</v>
      </c>
      <c r="I112" t="s">
        <v>361</v>
      </c>
      <c r="J112" t="s">
        <v>362</v>
      </c>
      <c r="K112" t="s">
        <v>363</v>
      </c>
      <c r="L112">
        <v>1354</v>
      </c>
      <c r="N112">
        <v>1013</v>
      </c>
      <c r="O112" t="s">
        <v>17</v>
      </c>
      <c r="P112" t="s">
        <v>17</v>
      </c>
      <c r="Q112">
        <v>1</v>
      </c>
      <c r="W112">
        <v>0</v>
      </c>
      <c r="X112">
        <v>1731261631</v>
      </c>
      <c r="Y112">
        <v>1</v>
      </c>
      <c r="AA112">
        <v>4433.98</v>
      </c>
      <c r="AB112">
        <v>0</v>
      </c>
      <c r="AC112">
        <v>0</v>
      </c>
      <c r="AD112">
        <v>0</v>
      </c>
      <c r="AE112">
        <v>4433.98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1</v>
      </c>
      <c r="AV112">
        <v>0</v>
      </c>
      <c r="AW112">
        <v>2</v>
      </c>
      <c r="AX112">
        <v>26616069</v>
      </c>
      <c r="AY112">
        <v>1</v>
      </c>
      <c r="AZ112">
        <v>0</v>
      </c>
      <c r="BA112">
        <v>115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Y112*Source!I72</f>
        <v>10</v>
      </c>
      <c r="CY112">
        <f>AA112</f>
        <v>4433.98</v>
      </c>
      <c r="CZ112">
        <f>AE112</f>
        <v>4433.98</v>
      </c>
      <c r="DA112">
        <f>AI112</f>
        <v>1</v>
      </c>
      <c r="DB112">
        <v>0</v>
      </c>
    </row>
    <row r="113" spans="1:106" ht="12.75">
      <c r="A113">
        <f>ROW(Source!A74)</f>
        <v>74</v>
      </c>
      <c r="B113">
        <v>26615678</v>
      </c>
      <c r="C113">
        <v>26616072</v>
      </c>
      <c r="D113">
        <v>25674184</v>
      </c>
      <c r="E113">
        <v>25674181</v>
      </c>
      <c r="F113">
        <v>1</v>
      </c>
      <c r="G113">
        <v>25674181</v>
      </c>
      <c r="H113">
        <v>1</v>
      </c>
      <c r="I113" t="s">
        <v>291</v>
      </c>
      <c r="K113" t="s">
        <v>292</v>
      </c>
      <c r="L113">
        <v>1191</v>
      </c>
      <c r="N113">
        <v>1013</v>
      </c>
      <c r="O113" t="s">
        <v>293</v>
      </c>
      <c r="P113" t="s">
        <v>293</v>
      </c>
      <c r="Q113">
        <v>1</v>
      </c>
      <c r="W113">
        <v>0</v>
      </c>
      <c r="X113">
        <v>476480486</v>
      </c>
      <c r="Y113">
        <v>3.5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3.5</v>
      </c>
      <c r="AV113">
        <v>1</v>
      </c>
      <c r="AW113">
        <v>2</v>
      </c>
      <c r="AX113">
        <v>26616079</v>
      </c>
      <c r="AY113">
        <v>1</v>
      </c>
      <c r="AZ113">
        <v>0</v>
      </c>
      <c r="BA113">
        <v>117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Y113*Source!I74</f>
        <v>21</v>
      </c>
      <c r="CY113">
        <f>AD113</f>
        <v>0</v>
      </c>
      <c r="CZ113">
        <f>AH113</f>
        <v>0</v>
      </c>
      <c r="DA113">
        <f>AL113</f>
        <v>1</v>
      </c>
      <c r="DB113">
        <v>0</v>
      </c>
    </row>
    <row r="114" spans="1:106" ht="12.75">
      <c r="A114">
        <f>ROW(Source!A74)</f>
        <v>74</v>
      </c>
      <c r="B114">
        <v>26615678</v>
      </c>
      <c r="C114">
        <v>26616072</v>
      </c>
      <c r="D114">
        <v>25685390</v>
      </c>
      <c r="E114">
        <v>1</v>
      </c>
      <c r="F114">
        <v>1</v>
      </c>
      <c r="G114">
        <v>25674181</v>
      </c>
      <c r="H114">
        <v>2</v>
      </c>
      <c r="I114" t="s">
        <v>297</v>
      </c>
      <c r="J114" t="s">
        <v>298</v>
      </c>
      <c r="K114" t="s">
        <v>299</v>
      </c>
      <c r="L114">
        <v>1368</v>
      </c>
      <c r="N114">
        <v>1011</v>
      </c>
      <c r="O114" t="s">
        <v>300</v>
      </c>
      <c r="P114" t="s">
        <v>300</v>
      </c>
      <c r="Q114">
        <v>1</v>
      </c>
      <c r="W114">
        <v>0</v>
      </c>
      <c r="X114">
        <v>144256025</v>
      </c>
      <c r="Y114">
        <v>0.15</v>
      </c>
      <c r="AA114">
        <v>0</v>
      </c>
      <c r="AB114">
        <v>32.82</v>
      </c>
      <c r="AC114">
        <v>6.85</v>
      </c>
      <c r="AD114">
        <v>0</v>
      </c>
      <c r="AE114">
        <v>0</v>
      </c>
      <c r="AF114">
        <v>32.82</v>
      </c>
      <c r="AG114">
        <v>6.85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0.15</v>
      </c>
      <c r="AV114">
        <v>0</v>
      </c>
      <c r="AW114">
        <v>2</v>
      </c>
      <c r="AX114">
        <v>26616080</v>
      </c>
      <c r="AY114">
        <v>1</v>
      </c>
      <c r="AZ114">
        <v>0</v>
      </c>
      <c r="BA114">
        <v>118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Y114*Source!I74</f>
        <v>0.8999999999999999</v>
      </c>
      <c r="CY114">
        <f>AB114</f>
        <v>32.82</v>
      </c>
      <c r="CZ114">
        <f>AF114</f>
        <v>32.82</v>
      </c>
      <c r="DA114">
        <f>AJ114</f>
        <v>1</v>
      </c>
      <c r="DB114">
        <v>0</v>
      </c>
    </row>
    <row r="115" spans="1:106" ht="12.75">
      <c r="A115">
        <f>ROW(Source!A74)</f>
        <v>74</v>
      </c>
      <c r="B115">
        <v>26615678</v>
      </c>
      <c r="C115">
        <v>26616072</v>
      </c>
      <c r="D115">
        <v>25686794</v>
      </c>
      <c r="E115">
        <v>1</v>
      </c>
      <c r="F115">
        <v>1</v>
      </c>
      <c r="G115">
        <v>25674181</v>
      </c>
      <c r="H115">
        <v>3</v>
      </c>
      <c r="I115" t="s">
        <v>314</v>
      </c>
      <c r="J115" t="s">
        <v>315</v>
      </c>
      <c r="K115" t="s">
        <v>316</v>
      </c>
      <c r="L115">
        <v>1348</v>
      </c>
      <c r="N115">
        <v>1013</v>
      </c>
      <c r="O115" t="s">
        <v>67</v>
      </c>
      <c r="P115" t="s">
        <v>67</v>
      </c>
      <c r="Q115">
        <v>1</v>
      </c>
      <c r="W115">
        <v>0</v>
      </c>
      <c r="X115">
        <v>-441702737</v>
      </c>
      <c r="Y115">
        <v>0.00071</v>
      </c>
      <c r="AA115">
        <v>85160.23</v>
      </c>
      <c r="AB115">
        <v>0</v>
      </c>
      <c r="AC115">
        <v>0</v>
      </c>
      <c r="AD115">
        <v>0</v>
      </c>
      <c r="AE115">
        <v>85160.23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0.00071</v>
      </c>
      <c r="AV115">
        <v>0</v>
      </c>
      <c r="AW115">
        <v>2</v>
      </c>
      <c r="AX115">
        <v>26616081</v>
      </c>
      <c r="AY115">
        <v>1</v>
      </c>
      <c r="AZ115">
        <v>0</v>
      </c>
      <c r="BA115">
        <v>119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Y115*Source!I74</f>
        <v>0.00426</v>
      </c>
      <c r="CY115">
        <f>AA115</f>
        <v>85160.23</v>
      </c>
      <c r="CZ115">
        <f>AE115</f>
        <v>85160.23</v>
      </c>
      <c r="DA115">
        <f>AI115</f>
        <v>1</v>
      </c>
      <c r="DB115">
        <v>0</v>
      </c>
    </row>
    <row r="116" spans="1:106" ht="12.75">
      <c r="A116">
        <f>ROW(Source!A74)</f>
        <v>74</v>
      </c>
      <c r="B116">
        <v>26615678</v>
      </c>
      <c r="C116">
        <v>26616072</v>
      </c>
      <c r="D116">
        <v>25687630</v>
      </c>
      <c r="E116">
        <v>1</v>
      </c>
      <c r="F116">
        <v>1</v>
      </c>
      <c r="G116">
        <v>25674181</v>
      </c>
      <c r="H116">
        <v>3</v>
      </c>
      <c r="I116" t="s">
        <v>304</v>
      </c>
      <c r="J116" t="s">
        <v>305</v>
      </c>
      <c r="K116" t="s">
        <v>306</v>
      </c>
      <c r="L116">
        <v>1348</v>
      </c>
      <c r="N116">
        <v>1013</v>
      </c>
      <c r="O116" t="s">
        <v>67</v>
      </c>
      <c r="P116" t="s">
        <v>67</v>
      </c>
      <c r="Q116">
        <v>1</v>
      </c>
      <c r="W116">
        <v>0</v>
      </c>
      <c r="X116">
        <v>-1544492133</v>
      </c>
      <c r="Y116">
        <v>0.0002</v>
      </c>
      <c r="AA116">
        <v>109898.69</v>
      </c>
      <c r="AB116">
        <v>0</v>
      </c>
      <c r="AC116">
        <v>0</v>
      </c>
      <c r="AD116">
        <v>0</v>
      </c>
      <c r="AE116">
        <v>109898.69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0.0002</v>
      </c>
      <c r="AV116">
        <v>0</v>
      </c>
      <c r="AW116">
        <v>2</v>
      </c>
      <c r="AX116">
        <v>26616082</v>
      </c>
      <c r="AY116">
        <v>1</v>
      </c>
      <c r="AZ116">
        <v>0</v>
      </c>
      <c r="BA116">
        <v>120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Y116*Source!I74</f>
        <v>0.0012000000000000001</v>
      </c>
      <c r="CY116">
        <f>AA116</f>
        <v>109898.69</v>
      </c>
      <c r="CZ116">
        <f>AE116</f>
        <v>109898.69</v>
      </c>
      <c r="DA116">
        <f>AI116</f>
        <v>1</v>
      </c>
      <c r="DB116">
        <v>0</v>
      </c>
    </row>
    <row r="117" spans="1:106" ht="12.75">
      <c r="A117">
        <f>ROW(Source!A74)</f>
        <v>74</v>
      </c>
      <c r="B117">
        <v>26615678</v>
      </c>
      <c r="C117">
        <v>26616072</v>
      </c>
      <c r="D117">
        <v>25692942</v>
      </c>
      <c r="E117">
        <v>1</v>
      </c>
      <c r="F117">
        <v>1</v>
      </c>
      <c r="G117">
        <v>25674181</v>
      </c>
      <c r="H117">
        <v>3</v>
      </c>
      <c r="I117" t="s">
        <v>151</v>
      </c>
      <c r="J117" t="s">
        <v>153</v>
      </c>
      <c r="K117" t="s">
        <v>152</v>
      </c>
      <c r="L117">
        <v>1346</v>
      </c>
      <c r="N117">
        <v>1013</v>
      </c>
      <c r="O117" t="s">
        <v>140</v>
      </c>
      <c r="P117" t="s">
        <v>140</v>
      </c>
      <c r="Q117">
        <v>1</v>
      </c>
      <c r="W117">
        <v>0</v>
      </c>
      <c r="X117">
        <v>378778038</v>
      </c>
      <c r="Y117">
        <v>7.1</v>
      </c>
      <c r="AA117">
        <v>98.44</v>
      </c>
      <c r="AB117">
        <v>0</v>
      </c>
      <c r="AC117">
        <v>0</v>
      </c>
      <c r="AD117">
        <v>0</v>
      </c>
      <c r="AE117">
        <v>98.44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T117">
        <v>7.1</v>
      </c>
      <c r="AV117">
        <v>0</v>
      </c>
      <c r="AW117">
        <v>1</v>
      </c>
      <c r="AX117">
        <v>-1</v>
      </c>
      <c r="AY117">
        <v>0</v>
      </c>
      <c r="AZ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Y117*Source!I74</f>
        <v>42.599999999999994</v>
      </c>
      <c r="CY117">
        <f>AA117</f>
        <v>98.44</v>
      </c>
      <c r="CZ117">
        <f>AE117</f>
        <v>98.44</v>
      </c>
      <c r="DA117">
        <f>AI117</f>
        <v>1</v>
      </c>
      <c r="DB117">
        <v>0</v>
      </c>
    </row>
    <row r="118" spans="1:106" ht="12.75">
      <c r="A118">
        <f>ROW(Source!A74)</f>
        <v>74</v>
      </c>
      <c r="B118">
        <v>26615678</v>
      </c>
      <c r="C118">
        <v>26616072</v>
      </c>
      <c r="D118">
        <v>25692932</v>
      </c>
      <c r="E118">
        <v>1</v>
      </c>
      <c r="F118">
        <v>1</v>
      </c>
      <c r="G118">
        <v>25674181</v>
      </c>
      <c r="H118">
        <v>3</v>
      </c>
      <c r="I118" t="s">
        <v>361</v>
      </c>
      <c r="J118" t="s">
        <v>362</v>
      </c>
      <c r="K118" t="s">
        <v>363</v>
      </c>
      <c r="L118">
        <v>1354</v>
      </c>
      <c r="N118">
        <v>1013</v>
      </c>
      <c r="O118" t="s">
        <v>17</v>
      </c>
      <c r="P118" t="s">
        <v>17</v>
      </c>
      <c r="Q118">
        <v>1</v>
      </c>
      <c r="W118">
        <v>0</v>
      </c>
      <c r="X118">
        <v>1731261631</v>
      </c>
      <c r="Y118">
        <v>1</v>
      </c>
      <c r="AA118">
        <v>4433.98</v>
      </c>
      <c r="AB118">
        <v>0</v>
      </c>
      <c r="AC118">
        <v>0</v>
      </c>
      <c r="AD118">
        <v>0</v>
      </c>
      <c r="AE118">
        <v>4433.98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1</v>
      </c>
      <c r="AV118">
        <v>0</v>
      </c>
      <c r="AW118">
        <v>2</v>
      </c>
      <c r="AX118">
        <v>26616083</v>
      </c>
      <c r="AY118">
        <v>1</v>
      </c>
      <c r="AZ118">
        <v>0</v>
      </c>
      <c r="BA118">
        <v>121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Y118*Source!I74</f>
        <v>6</v>
      </c>
      <c r="CY118">
        <f>AA118</f>
        <v>4433.98</v>
      </c>
      <c r="CZ118">
        <f>AE118</f>
        <v>4433.98</v>
      </c>
      <c r="DA118">
        <f>AI118</f>
        <v>1</v>
      </c>
      <c r="DB118">
        <v>0</v>
      </c>
    </row>
    <row r="119" spans="1:106" ht="12.75">
      <c r="A119">
        <f>ROW(Source!A76)</f>
        <v>76</v>
      </c>
      <c r="B119">
        <v>26615678</v>
      </c>
      <c r="C119">
        <v>26616528</v>
      </c>
      <c r="D119">
        <v>25674184</v>
      </c>
      <c r="E119">
        <v>25674181</v>
      </c>
      <c r="F119">
        <v>1</v>
      </c>
      <c r="G119">
        <v>25674181</v>
      </c>
      <c r="H119">
        <v>1</v>
      </c>
      <c r="I119" t="s">
        <v>291</v>
      </c>
      <c r="K119" t="s">
        <v>292</v>
      </c>
      <c r="L119">
        <v>1191</v>
      </c>
      <c r="N119">
        <v>1013</v>
      </c>
      <c r="O119" t="s">
        <v>293</v>
      </c>
      <c r="P119" t="s">
        <v>293</v>
      </c>
      <c r="Q119">
        <v>1</v>
      </c>
      <c r="W119">
        <v>0</v>
      </c>
      <c r="X119">
        <v>476480486</v>
      </c>
      <c r="Y119">
        <v>46.12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46.12</v>
      </c>
      <c r="AV119">
        <v>1</v>
      </c>
      <c r="AW119">
        <v>2</v>
      </c>
      <c r="AX119">
        <v>26616529</v>
      </c>
      <c r="AY119">
        <v>1</v>
      </c>
      <c r="AZ119">
        <v>0</v>
      </c>
      <c r="BA119">
        <v>123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Y119*Source!I76</f>
        <v>46.12</v>
      </c>
      <c r="CY119">
        <f>AD119</f>
        <v>0</v>
      </c>
      <c r="CZ119">
        <f>AH119</f>
        <v>0</v>
      </c>
      <c r="DA119">
        <f>AL119</f>
        <v>1</v>
      </c>
      <c r="DB119">
        <v>0</v>
      </c>
    </row>
    <row r="120" spans="1:106" ht="12.75">
      <c r="A120">
        <f>ROW(Source!A76)</f>
        <v>76</v>
      </c>
      <c r="B120">
        <v>26615678</v>
      </c>
      <c r="C120">
        <v>26616528</v>
      </c>
      <c r="D120">
        <v>25685390</v>
      </c>
      <c r="E120">
        <v>1</v>
      </c>
      <c r="F120">
        <v>1</v>
      </c>
      <c r="G120">
        <v>25674181</v>
      </c>
      <c r="H120">
        <v>2</v>
      </c>
      <c r="I120" t="s">
        <v>297</v>
      </c>
      <c r="J120" t="s">
        <v>298</v>
      </c>
      <c r="K120" t="s">
        <v>299</v>
      </c>
      <c r="L120">
        <v>1368</v>
      </c>
      <c r="N120">
        <v>1011</v>
      </c>
      <c r="O120" t="s">
        <v>300</v>
      </c>
      <c r="P120" t="s">
        <v>300</v>
      </c>
      <c r="Q120">
        <v>1</v>
      </c>
      <c r="W120">
        <v>0</v>
      </c>
      <c r="X120">
        <v>144256025</v>
      </c>
      <c r="Y120">
        <v>1.81</v>
      </c>
      <c r="AA120">
        <v>0</v>
      </c>
      <c r="AB120">
        <v>32.82</v>
      </c>
      <c r="AC120">
        <v>6.85</v>
      </c>
      <c r="AD120">
        <v>0</v>
      </c>
      <c r="AE120">
        <v>0</v>
      </c>
      <c r="AF120">
        <v>32.82</v>
      </c>
      <c r="AG120">
        <v>6.85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1.81</v>
      </c>
      <c r="AV120">
        <v>0</v>
      </c>
      <c r="AW120">
        <v>2</v>
      </c>
      <c r="AX120">
        <v>26616530</v>
      </c>
      <c r="AY120">
        <v>1</v>
      </c>
      <c r="AZ120">
        <v>0</v>
      </c>
      <c r="BA120">
        <v>124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Y120*Source!I76</f>
        <v>1.81</v>
      </c>
      <c r="CY120">
        <f>AB120</f>
        <v>32.82</v>
      </c>
      <c r="CZ120">
        <f>AF120</f>
        <v>32.82</v>
      </c>
      <c r="DA120">
        <f>AJ120</f>
        <v>1</v>
      </c>
      <c r="DB120">
        <v>0</v>
      </c>
    </row>
    <row r="121" spans="1:106" ht="12.75">
      <c r="A121">
        <f>ROW(Source!A76)</f>
        <v>76</v>
      </c>
      <c r="B121">
        <v>26615678</v>
      </c>
      <c r="C121">
        <v>26616528</v>
      </c>
      <c r="D121">
        <v>25686786</v>
      </c>
      <c r="E121">
        <v>1</v>
      </c>
      <c r="F121">
        <v>1</v>
      </c>
      <c r="G121">
        <v>25674181</v>
      </c>
      <c r="H121">
        <v>3</v>
      </c>
      <c r="I121" t="s">
        <v>364</v>
      </c>
      <c r="J121" t="s">
        <v>365</v>
      </c>
      <c r="K121" t="s">
        <v>366</v>
      </c>
      <c r="L121">
        <v>1348</v>
      </c>
      <c r="N121">
        <v>1013</v>
      </c>
      <c r="O121" t="s">
        <v>67</v>
      </c>
      <c r="P121" t="s">
        <v>67</v>
      </c>
      <c r="Q121">
        <v>1</v>
      </c>
      <c r="W121">
        <v>0</v>
      </c>
      <c r="X121">
        <v>128113571</v>
      </c>
      <c r="Y121">
        <v>0.00096</v>
      </c>
      <c r="AA121">
        <v>116144.67</v>
      </c>
      <c r="AB121">
        <v>0</v>
      </c>
      <c r="AC121">
        <v>0</v>
      </c>
      <c r="AD121">
        <v>0</v>
      </c>
      <c r="AE121">
        <v>116144.67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0.00096</v>
      </c>
      <c r="AV121">
        <v>0</v>
      </c>
      <c r="AW121">
        <v>2</v>
      </c>
      <c r="AX121">
        <v>26616531</v>
      </c>
      <c r="AY121">
        <v>1</v>
      </c>
      <c r="AZ121">
        <v>0</v>
      </c>
      <c r="BA121">
        <v>125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Y121*Source!I76</f>
        <v>0.00096</v>
      </c>
      <c r="CY121">
        <f aca="true" t="shared" si="18" ref="CY121:CY132">AA121</f>
        <v>116144.67</v>
      </c>
      <c r="CZ121">
        <f aca="true" t="shared" si="19" ref="CZ121:CZ132">AE121</f>
        <v>116144.67</v>
      </c>
      <c r="DA121">
        <f aca="true" t="shared" si="20" ref="DA121:DA132">AI121</f>
        <v>1</v>
      </c>
      <c r="DB121">
        <v>0</v>
      </c>
    </row>
    <row r="122" spans="1:106" ht="12.75">
      <c r="A122">
        <f>ROW(Source!A76)</f>
        <v>76</v>
      </c>
      <c r="B122">
        <v>26615678</v>
      </c>
      <c r="C122">
        <v>26616528</v>
      </c>
      <c r="D122">
        <v>25686794</v>
      </c>
      <c r="E122">
        <v>1</v>
      </c>
      <c r="F122">
        <v>1</v>
      </c>
      <c r="G122">
        <v>25674181</v>
      </c>
      <c r="H122">
        <v>3</v>
      </c>
      <c r="I122" t="s">
        <v>314</v>
      </c>
      <c r="J122" t="s">
        <v>315</v>
      </c>
      <c r="K122" t="s">
        <v>316</v>
      </c>
      <c r="L122">
        <v>1348</v>
      </c>
      <c r="N122">
        <v>1013</v>
      </c>
      <c r="O122" t="s">
        <v>67</v>
      </c>
      <c r="P122" t="s">
        <v>67</v>
      </c>
      <c r="Q122">
        <v>1</v>
      </c>
      <c r="W122">
        <v>0</v>
      </c>
      <c r="X122">
        <v>-441702737</v>
      </c>
      <c r="Y122">
        <v>0.0042</v>
      </c>
      <c r="AA122">
        <v>85160.23</v>
      </c>
      <c r="AB122">
        <v>0</v>
      </c>
      <c r="AC122">
        <v>0</v>
      </c>
      <c r="AD122">
        <v>0</v>
      </c>
      <c r="AE122">
        <v>85160.23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0.0042</v>
      </c>
      <c r="AV122">
        <v>0</v>
      </c>
      <c r="AW122">
        <v>2</v>
      </c>
      <c r="AX122">
        <v>26616532</v>
      </c>
      <c r="AY122">
        <v>1</v>
      </c>
      <c r="AZ122">
        <v>0</v>
      </c>
      <c r="BA122">
        <v>126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Y122*Source!I76</f>
        <v>0.0042</v>
      </c>
      <c r="CY122">
        <f t="shared" si="18"/>
        <v>85160.23</v>
      </c>
      <c r="CZ122">
        <f t="shared" si="19"/>
        <v>85160.23</v>
      </c>
      <c r="DA122">
        <f t="shared" si="20"/>
        <v>1</v>
      </c>
      <c r="DB122">
        <v>0</v>
      </c>
    </row>
    <row r="123" spans="1:106" ht="12.75">
      <c r="A123">
        <f>ROW(Source!A76)</f>
        <v>76</v>
      </c>
      <c r="B123">
        <v>26615678</v>
      </c>
      <c r="C123">
        <v>26616528</v>
      </c>
      <c r="D123">
        <v>25686868</v>
      </c>
      <c r="E123">
        <v>1</v>
      </c>
      <c r="F123">
        <v>1</v>
      </c>
      <c r="G123">
        <v>25674181</v>
      </c>
      <c r="H123">
        <v>3</v>
      </c>
      <c r="I123" t="s">
        <v>367</v>
      </c>
      <c r="J123" t="s">
        <v>368</v>
      </c>
      <c r="K123" t="s">
        <v>369</v>
      </c>
      <c r="L123">
        <v>1348</v>
      </c>
      <c r="N123">
        <v>1013</v>
      </c>
      <c r="O123" t="s">
        <v>67</v>
      </c>
      <c r="P123" t="s">
        <v>67</v>
      </c>
      <c r="Q123">
        <v>1</v>
      </c>
      <c r="W123">
        <v>0</v>
      </c>
      <c r="X123">
        <v>-116559405</v>
      </c>
      <c r="Y123">
        <v>0.00018</v>
      </c>
      <c r="AA123">
        <v>99698.6</v>
      </c>
      <c r="AB123">
        <v>0</v>
      </c>
      <c r="AC123">
        <v>0</v>
      </c>
      <c r="AD123">
        <v>0</v>
      </c>
      <c r="AE123">
        <v>99698.6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0.00018</v>
      </c>
      <c r="AV123">
        <v>0</v>
      </c>
      <c r="AW123">
        <v>2</v>
      </c>
      <c r="AX123">
        <v>26616533</v>
      </c>
      <c r="AY123">
        <v>1</v>
      </c>
      <c r="AZ123">
        <v>0</v>
      </c>
      <c r="BA123">
        <v>127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Y123*Source!I76</f>
        <v>0.00018</v>
      </c>
      <c r="CY123">
        <f t="shared" si="18"/>
        <v>99698.6</v>
      </c>
      <c r="CZ123">
        <f t="shared" si="19"/>
        <v>99698.6</v>
      </c>
      <c r="DA123">
        <f t="shared" si="20"/>
        <v>1</v>
      </c>
      <c r="DB123">
        <v>0</v>
      </c>
    </row>
    <row r="124" spans="1:106" ht="12.75">
      <c r="A124">
        <f>ROW(Source!A76)</f>
        <v>76</v>
      </c>
      <c r="B124">
        <v>26615678</v>
      </c>
      <c r="C124">
        <v>26616528</v>
      </c>
      <c r="D124">
        <v>25691726</v>
      </c>
      <c r="E124">
        <v>1</v>
      </c>
      <c r="F124">
        <v>1</v>
      </c>
      <c r="G124">
        <v>25674181</v>
      </c>
      <c r="H124">
        <v>3</v>
      </c>
      <c r="I124" t="s">
        <v>370</v>
      </c>
      <c r="J124" t="s">
        <v>371</v>
      </c>
      <c r="K124" t="s">
        <v>372</v>
      </c>
      <c r="L124">
        <v>1035</v>
      </c>
      <c r="N124">
        <v>1013</v>
      </c>
      <c r="O124" t="s">
        <v>58</v>
      </c>
      <c r="P124" t="s">
        <v>58</v>
      </c>
      <c r="Q124">
        <v>1</v>
      </c>
      <c r="W124">
        <v>0</v>
      </c>
      <c r="X124">
        <v>-825519905</v>
      </c>
      <c r="Y124">
        <v>3</v>
      </c>
      <c r="AA124">
        <v>109.91</v>
      </c>
      <c r="AB124">
        <v>0</v>
      </c>
      <c r="AC124">
        <v>0</v>
      </c>
      <c r="AD124">
        <v>0</v>
      </c>
      <c r="AE124">
        <v>109.91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3</v>
      </c>
      <c r="AV124">
        <v>0</v>
      </c>
      <c r="AW124">
        <v>2</v>
      </c>
      <c r="AX124">
        <v>26616540</v>
      </c>
      <c r="AY124">
        <v>1</v>
      </c>
      <c r="AZ124">
        <v>0</v>
      </c>
      <c r="BA124">
        <v>128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Y124*Source!I76</f>
        <v>3</v>
      </c>
      <c r="CY124">
        <f t="shared" si="18"/>
        <v>109.91</v>
      </c>
      <c r="CZ124">
        <f t="shared" si="19"/>
        <v>109.91</v>
      </c>
      <c r="DA124">
        <f t="shared" si="20"/>
        <v>1</v>
      </c>
      <c r="DB124">
        <v>0</v>
      </c>
    </row>
    <row r="125" spans="1:106" ht="12.75">
      <c r="A125">
        <f>ROW(Source!A76)</f>
        <v>76</v>
      </c>
      <c r="B125">
        <v>26615678</v>
      </c>
      <c r="C125">
        <v>26616528</v>
      </c>
      <c r="D125">
        <v>25687610</v>
      </c>
      <c r="E125">
        <v>1</v>
      </c>
      <c r="F125">
        <v>1</v>
      </c>
      <c r="G125">
        <v>25674181</v>
      </c>
      <c r="H125">
        <v>3</v>
      </c>
      <c r="I125" t="s">
        <v>373</v>
      </c>
      <c r="J125" t="s">
        <v>374</v>
      </c>
      <c r="K125" t="s">
        <v>375</v>
      </c>
      <c r="L125">
        <v>1327</v>
      </c>
      <c r="N125">
        <v>1013</v>
      </c>
      <c r="O125" t="s">
        <v>85</v>
      </c>
      <c r="P125" t="s">
        <v>85</v>
      </c>
      <c r="Q125">
        <v>1</v>
      </c>
      <c r="W125">
        <v>0</v>
      </c>
      <c r="X125">
        <v>1174073044</v>
      </c>
      <c r="Y125">
        <v>0.095</v>
      </c>
      <c r="AA125">
        <v>32.4</v>
      </c>
      <c r="AB125">
        <v>0</v>
      </c>
      <c r="AC125">
        <v>0</v>
      </c>
      <c r="AD125">
        <v>0</v>
      </c>
      <c r="AE125">
        <v>32.4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0.095</v>
      </c>
      <c r="AV125">
        <v>0</v>
      </c>
      <c r="AW125">
        <v>2</v>
      </c>
      <c r="AX125">
        <v>26616534</v>
      </c>
      <c r="AY125">
        <v>1</v>
      </c>
      <c r="AZ125">
        <v>0</v>
      </c>
      <c r="BA125">
        <v>129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Y125*Source!I76</f>
        <v>0.095</v>
      </c>
      <c r="CY125">
        <f t="shared" si="18"/>
        <v>32.4</v>
      </c>
      <c r="CZ125">
        <f t="shared" si="19"/>
        <v>32.4</v>
      </c>
      <c r="DA125">
        <f t="shared" si="20"/>
        <v>1</v>
      </c>
      <c r="DB125">
        <v>0</v>
      </c>
    </row>
    <row r="126" spans="1:106" ht="12.75">
      <c r="A126">
        <f>ROW(Source!A76)</f>
        <v>76</v>
      </c>
      <c r="B126">
        <v>26615678</v>
      </c>
      <c r="C126">
        <v>26616528</v>
      </c>
      <c r="D126">
        <v>25687630</v>
      </c>
      <c r="E126">
        <v>1</v>
      </c>
      <c r="F126">
        <v>1</v>
      </c>
      <c r="G126">
        <v>25674181</v>
      </c>
      <c r="H126">
        <v>3</v>
      </c>
      <c r="I126" t="s">
        <v>304</v>
      </c>
      <c r="J126" t="s">
        <v>305</v>
      </c>
      <c r="K126" t="s">
        <v>306</v>
      </c>
      <c r="L126">
        <v>1348</v>
      </c>
      <c r="N126">
        <v>1013</v>
      </c>
      <c r="O126" t="s">
        <v>67</v>
      </c>
      <c r="P126" t="s">
        <v>67</v>
      </c>
      <c r="Q126">
        <v>1</v>
      </c>
      <c r="W126">
        <v>0</v>
      </c>
      <c r="X126">
        <v>-1544492133</v>
      </c>
      <c r="Y126">
        <v>0.00034</v>
      </c>
      <c r="AA126">
        <v>109898.69</v>
      </c>
      <c r="AB126">
        <v>0</v>
      </c>
      <c r="AC126">
        <v>0</v>
      </c>
      <c r="AD126">
        <v>0</v>
      </c>
      <c r="AE126">
        <v>109898.69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0.00034</v>
      </c>
      <c r="AV126">
        <v>0</v>
      </c>
      <c r="AW126">
        <v>2</v>
      </c>
      <c r="AX126">
        <v>26616535</v>
      </c>
      <c r="AY126">
        <v>1</v>
      </c>
      <c r="AZ126">
        <v>0</v>
      </c>
      <c r="BA126">
        <v>130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Y126*Source!I76</f>
        <v>0.00034</v>
      </c>
      <c r="CY126">
        <f t="shared" si="18"/>
        <v>109898.69</v>
      </c>
      <c r="CZ126">
        <f t="shared" si="19"/>
        <v>109898.69</v>
      </c>
      <c r="DA126">
        <f t="shared" si="20"/>
        <v>1</v>
      </c>
      <c r="DB126">
        <v>0</v>
      </c>
    </row>
    <row r="127" spans="1:106" ht="12.75">
      <c r="A127">
        <f>ROW(Source!A76)</f>
        <v>76</v>
      </c>
      <c r="B127">
        <v>26615678</v>
      </c>
      <c r="C127">
        <v>26616528</v>
      </c>
      <c r="D127">
        <v>25687707</v>
      </c>
      <c r="E127">
        <v>1</v>
      </c>
      <c r="F127">
        <v>1</v>
      </c>
      <c r="G127">
        <v>25674181</v>
      </c>
      <c r="H127">
        <v>3</v>
      </c>
      <c r="I127" t="s">
        <v>376</v>
      </c>
      <c r="J127" t="s">
        <v>377</v>
      </c>
      <c r="K127" t="s">
        <v>378</v>
      </c>
      <c r="L127">
        <v>1346</v>
      </c>
      <c r="N127">
        <v>1013</v>
      </c>
      <c r="O127" t="s">
        <v>140</v>
      </c>
      <c r="P127" t="s">
        <v>140</v>
      </c>
      <c r="Q127">
        <v>1</v>
      </c>
      <c r="W127">
        <v>0</v>
      </c>
      <c r="X127">
        <v>-100344450</v>
      </c>
      <c r="Y127">
        <v>0.15</v>
      </c>
      <c r="AA127">
        <v>215.01</v>
      </c>
      <c r="AB127">
        <v>0</v>
      </c>
      <c r="AC127">
        <v>0</v>
      </c>
      <c r="AD127">
        <v>0</v>
      </c>
      <c r="AE127">
        <v>215.01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0.15</v>
      </c>
      <c r="AV127">
        <v>0</v>
      </c>
      <c r="AW127">
        <v>2</v>
      </c>
      <c r="AX127">
        <v>26616536</v>
      </c>
      <c r="AY127">
        <v>1</v>
      </c>
      <c r="AZ127">
        <v>0</v>
      </c>
      <c r="BA127">
        <v>131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Y127*Source!I76</f>
        <v>0.15</v>
      </c>
      <c r="CY127">
        <f t="shared" si="18"/>
        <v>215.01</v>
      </c>
      <c r="CZ127">
        <f t="shared" si="19"/>
        <v>215.01</v>
      </c>
      <c r="DA127">
        <f t="shared" si="20"/>
        <v>1</v>
      </c>
      <c r="DB127">
        <v>0</v>
      </c>
    </row>
    <row r="128" spans="1:106" ht="12.75">
      <c r="A128">
        <f>ROW(Source!A76)</f>
        <v>76</v>
      </c>
      <c r="B128">
        <v>26615678</v>
      </c>
      <c r="C128">
        <v>26616528</v>
      </c>
      <c r="D128">
        <v>25687974</v>
      </c>
      <c r="E128">
        <v>1</v>
      </c>
      <c r="F128">
        <v>1</v>
      </c>
      <c r="G128">
        <v>25674181</v>
      </c>
      <c r="H128">
        <v>3</v>
      </c>
      <c r="I128" t="s">
        <v>320</v>
      </c>
      <c r="J128" t="s">
        <v>321</v>
      </c>
      <c r="K128" t="s">
        <v>322</v>
      </c>
      <c r="L128">
        <v>1348</v>
      </c>
      <c r="N128">
        <v>1013</v>
      </c>
      <c r="O128" t="s">
        <v>67</v>
      </c>
      <c r="P128" t="s">
        <v>67</v>
      </c>
      <c r="Q128">
        <v>1</v>
      </c>
      <c r="W128">
        <v>0</v>
      </c>
      <c r="X128">
        <v>218864245</v>
      </c>
      <c r="Y128">
        <v>0.00272</v>
      </c>
      <c r="AA128">
        <v>142669.85</v>
      </c>
      <c r="AB128">
        <v>0</v>
      </c>
      <c r="AC128">
        <v>0</v>
      </c>
      <c r="AD128">
        <v>0</v>
      </c>
      <c r="AE128">
        <v>142669.85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0.00272</v>
      </c>
      <c r="AV128">
        <v>0</v>
      </c>
      <c r="AW128">
        <v>2</v>
      </c>
      <c r="AX128">
        <v>26616537</v>
      </c>
      <c r="AY128">
        <v>1</v>
      </c>
      <c r="AZ128">
        <v>0</v>
      </c>
      <c r="BA128">
        <v>132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Y128*Source!I76</f>
        <v>0.00272</v>
      </c>
      <c r="CY128">
        <f t="shared" si="18"/>
        <v>142669.85</v>
      </c>
      <c r="CZ128">
        <f t="shared" si="19"/>
        <v>142669.85</v>
      </c>
      <c r="DA128">
        <f t="shared" si="20"/>
        <v>1</v>
      </c>
      <c r="DB128">
        <v>0</v>
      </c>
    </row>
    <row r="129" spans="1:106" ht="12.75">
      <c r="A129">
        <f>ROW(Source!A76)</f>
        <v>76</v>
      </c>
      <c r="B129">
        <v>26615678</v>
      </c>
      <c r="C129">
        <v>26616528</v>
      </c>
      <c r="D129">
        <v>25686207</v>
      </c>
      <c r="E129">
        <v>1</v>
      </c>
      <c r="F129">
        <v>1</v>
      </c>
      <c r="G129">
        <v>25674181</v>
      </c>
      <c r="H129">
        <v>3</v>
      </c>
      <c r="I129" t="s">
        <v>379</v>
      </c>
      <c r="J129" t="s">
        <v>380</v>
      </c>
      <c r="K129" t="s">
        <v>381</v>
      </c>
      <c r="L129">
        <v>1348</v>
      </c>
      <c r="N129">
        <v>1013</v>
      </c>
      <c r="O129" t="s">
        <v>67</v>
      </c>
      <c r="P129" t="s">
        <v>67</v>
      </c>
      <c r="Q129">
        <v>1</v>
      </c>
      <c r="W129">
        <v>0</v>
      </c>
      <c r="X129">
        <v>715655147</v>
      </c>
      <c r="Y129">
        <v>0.00038</v>
      </c>
      <c r="AA129">
        <v>66844.36</v>
      </c>
      <c r="AB129">
        <v>0</v>
      </c>
      <c r="AC129">
        <v>0</v>
      </c>
      <c r="AD129">
        <v>0</v>
      </c>
      <c r="AE129">
        <v>66844.36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0.00038</v>
      </c>
      <c r="AV129">
        <v>0</v>
      </c>
      <c r="AW129">
        <v>2</v>
      </c>
      <c r="AX129">
        <v>26616538</v>
      </c>
      <c r="AY129">
        <v>1</v>
      </c>
      <c r="AZ129">
        <v>0</v>
      </c>
      <c r="BA129">
        <v>133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Y129*Source!I76</f>
        <v>0.00038</v>
      </c>
      <c r="CY129">
        <f t="shared" si="18"/>
        <v>66844.36</v>
      </c>
      <c r="CZ129">
        <f t="shared" si="19"/>
        <v>66844.36</v>
      </c>
      <c r="DA129">
        <f t="shared" si="20"/>
        <v>1</v>
      </c>
      <c r="DB129">
        <v>0</v>
      </c>
    </row>
    <row r="130" spans="1:106" ht="12.75">
      <c r="A130">
        <f>ROW(Source!A76)</f>
        <v>76</v>
      </c>
      <c r="B130">
        <v>26615678</v>
      </c>
      <c r="C130">
        <v>26616528</v>
      </c>
      <c r="D130">
        <v>25686248</v>
      </c>
      <c r="E130">
        <v>1</v>
      </c>
      <c r="F130">
        <v>1</v>
      </c>
      <c r="G130">
        <v>25674181</v>
      </c>
      <c r="H130">
        <v>3</v>
      </c>
      <c r="I130" t="s">
        <v>382</v>
      </c>
      <c r="J130" t="s">
        <v>383</v>
      </c>
      <c r="K130" t="s">
        <v>384</v>
      </c>
      <c r="L130">
        <v>1346</v>
      </c>
      <c r="N130">
        <v>1013</v>
      </c>
      <c r="O130" t="s">
        <v>140</v>
      </c>
      <c r="P130" t="s">
        <v>140</v>
      </c>
      <c r="Q130">
        <v>1</v>
      </c>
      <c r="W130">
        <v>0</v>
      </c>
      <c r="X130">
        <v>-1579092917</v>
      </c>
      <c r="Y130">
        <v>0.045</v>
      </c>
      <c r="AA130">
        <v>55.6</v>
      </c>
      <c r="AB130">
        <v>0</v>
      </c>
      <c r="AC130">
        <v>0</v>
      </c>
      <c r="AD130">
        <v>0</v>
      </c>
      <c r="AE130">
        <v>55.6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0.045</v>
      </c>
      <c r="AV130">
        <v>0</v>
      </c>
      <c r="AW130">
        <v>2</v>
      </c>
      <c r="AX130">
        <v>26616539</v>
      </c>
      <c r="AY130">
        <v>1</v>
      </c>
      <c r="AZ130">
        <v>0</v>
      </c>
      <c r="BA130">
        <v>134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Y130*Source!I76</f>
        <v>0.045</v>
      </c>
      <c r="CY130">
        <f t="shared" si="18"/>
        <v>55.6</v>
      </c>
      <c r="CZ130">
        <f t="shared" si="19"/>
        <v>55.6</v>
      </c>
      <c r="DA130">
        <f t="shared" si="20"/>
        <v>1</v>
      </c>
      <c r="DB130">
        <v>0</v>
      </c>
    </row>
    <row r="131" spans="1:106" ht="12.75">
      <c r="A131">
        <f>ROW(Source!A76)</f>
        <v>76</v>
      </c>
      <c r="B131">
        <v>26615678</v>
      </c>
      <c r="C131">
        <v>26616528</v>
      </c>
      <c r="D131">
        <v>25688502</v>
      </c>
      <c r="E131">
        <v>1</v>
      </c>
      <c r="F131">
        <v>1</v>
      </c>
      <c r="G131">
        <v>25674181</v>
      </c>
      <c r="H131">
        <v>3</v>
      </c>
      <c r="I131" t="s">
        <v>307</v>
      </c>
      <c r="J131" t="s">
        <v>308</v>
      </c>
      <c r="K131" t="s">
        <v>309</v>
      </c>
      <c r="L131">
        <v>1339</v>
      </c>
      <c r="N131">
        <v>1007</v>
      </c>
      <c r="O131" t="s">
        <v>310</v>
      </c>
      <c r="P131" t="s">
        <v>310</v>
      </c>
      <c r="Q131">
        <v>1</v>
      </c>
      <c r="W131">
        <v>0</v>
      </c>
      <c r="X131">
        <v>184829274</v>
      </c>
      <c r="Y131">
        <v>0.009</v>
      </c>
      <c r="AA131">
        <v>2834.05</v>
      </c>
      <c r="AB131">
        <v>0</v>
      </c>
      <c r="AC131">
        <v>0</v>
      </c>
      <c r="AD131">
        <v>0</v>
      </c>
      <c r="AE131">
        <v>2834.05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0.009</v>
      </c>
      <c r="AV131">
        <v>0</v>
      </c>
      <c r="AW131">
        <v>2</v>
      </c>
      <c r="AX131">
        <v>26616541</v>
      </c>
      <c r="AY131">
        <v>1</v>
      </c>
      <c r="AZ131">
        <v>0</v>
      </c>
      <c r="BA131">
        <v>135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Y131*Source!I76</f>
        <v>0.009</v>
      </c>
      <c r="CY131">
        <f t="shared" si="18"/>
        <v>2834.05</v>
      </c>
      <c r="CZ131">
        <f t="shared" si="19"/>
        <v>2834.05</v>
      </c>
      <c r="DA131">
        <f t="shared" si="20"/>
        <v>1</v>
      </c>
      <c r="DB131">
        <v>0</v>
      </c>
    </row>
    <row r="132" spans="1:106" ht="12.75">
      <c r="A132">
        <f>ROW(Source!A76)</f>
        <v>76</v>
      </c>
      <c r="B132">
        <v>26615678</v>
      </c>
      <c r="C132">
        <v>26616528</v>
      </c>
      <c r="D132">
        <v>0</v>
      </c>
      <c r="E132">
        <v>0</v>
      </c>
      <c r="F132">
        <v>1</v>
      </c>
      <c r="G132">
        <v>25674181</v>
      </c>
      <c r="H132">
        <v>3</v>
      </c>
      <c r="I132" t="s">
        <v>182</v>
      </c>
      <c r="K132" t="s">
        <v>183</v>
      </c>
      <c r="L132">
        <v>1371</v>
      </c>
      <c r="N132">
        <v>1013</v>
      </c>
      <c r="O132" t="s">
        <v>25</v>
      </c>
      <c r="P132" t="s">
        <v>25</v>
      </c>
      <c r="Q132">
        <v>1</v>
      </c>
      <c r="W132">
        <v>0</v>
      </c>
      <c r="X132">
        <v>515216307</v>
      </c>
      <c r="Y132">
        <v>1</v>
      </c>
      <c r="AA132">
        <v>31061.86</v>
      </c>
      <c r="AB132">
        <v>0</v>
      </c>
      <c r="AC132">
        <v>0</v>
      </c>
      <c r="AD132">
        <v>0</v>
      </c>
      <c r="AE132">
        <v>31061.86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T132">
        <v>1</v>
      </c>
      <c r="AV132">
        <v>0</v>
      </c>
      <c r="AW132">
        <v>1</v>
      </c>
      <c r="AX132">
        <v>-1</v>
      </c>
      <c r="AY132">
        <v>0</v>
      </c>
      <c r="AZ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Y132*Source!I76</f>
        <v>1</v>
      </c>
      <c r="CY132">
        <f t="shared" si="18"/>
        <v>31061.86</v>
      </c>
      <c r="CZ132">
        <f t="shared" si="19"/>
        <v>31061.86</v>
      </c>
      <c r="DA132">
        <f t="shared" si="20"/>
        <v>1</v>
      </c>
      <c r="DB132">
        <v>0</v>
      </c>
    </row>
    <row r="133" spans="1:106" ht="12.75">
      <c r="A133">
        <f>ROW(Source!A78)</f>
        <v>78</v>
      </c>
      <c r="B133">
        <v>26615678</v>
      </c>
      <c r="C133">
        <v>26616549</v>
      </c>
      <c r="D133">
        <v>25674184</v>
      </c>
      <c r="E133">
        <v>25674181</v>
      </c>
      <c r="F133">
        <v>1</v>
      </c>
      <c r="G133">
        <v>25674181</v>
      </c>
      <c r="H133">
        <v>1</v>
      </c>
      <c r="I133" t="s">
        <v>291</v>
      </c>
      <c r="K133" t="s">
        <v>292</v>
      </c>
      <c r="L133">
        <v>1191</v>
      </c>
      <c r="N133">
        <v>1013</v>
      </c>
      <c r="O133" t="s">
        <v>293</v>
      </c>
      <c r="P133" t="s">
        <v>293</v>
      </c>
      <c r="Q133">
        <v>1</v>
      </c>
      <c r="W133">
        <v>0</v>
      </c>
      <c r="X133">
        <v>476480486</v>
      </c>
      <c r="Y133">
        <v>1.63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1.63</v>
      </c>
      <c r="AV133">
        <v>1</v>
      </c>
      <c r="AW133">
        <v>2</v>
      </c>
      <c r="AX133">
        <v>26616550</v>
      </c>
      <c r="AY133">
        <v>1</v>
      </c>
      <c r="AZ133">
        <v>0</v>
      </c>
      <c r="BA133">
        <v>137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Y133*Source!I78</f>
        <v>1.63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ht="12.75">
      <c r="A134">
        <f>ROW(Source!A78)</f>
        <v>78</v>
      </c>
      <c r="B134">
        <v>26615678</v>
      </c>
      <c r="C134">
        <v>26616549</v>
      </c>
      <c r="D134">
        <v>25686794</v>
      </c>
      <c r="E134">
        <v>1</v>
      </c>
      <c r="F134">
        <v>1</v>
      </c>
      <c r="G134">
        <v>25674181</v>
      </c>
      <c r="H134">
        <v>3</v>
      </c>
      <c r="I134" t="s">
        <v>314</v>
      </c>
      <c r="J134" t="s">
        <v>315</v>
      </c>
      <c r="K134" t="s">
        <v>316</v>
      </c>
      <c r="L134">
        <v>1348</v>
      </c>
      <c r="N134">
        <v>1013</v>
      </c>
      <c r="O134" t="s">
        <v>67</v>
      </c>
      <c r="P134" t="s">
        <v>67</v>
      </c>
      <c r="Q134">
        <v>1</v>
      </c>
      <c r="W134">
        <v>0</v>
      </c>
      <c r="X134">
        <v>-441702737</v>
      </c>
      <c r="Y134">
        <v>0.0002</v>
      </c>
      <c r="AA134">
        <v>85160.23</v>
      </c>
      <c r="AB134">
        <v>0</v>
      </c>
      <c r="AC134">
        <v>0</v>
      </c>
      <c r="AD134">
        <v>0</v>
      </c>
      <c r="AE134">
        <v>85160.23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0.0002</v>
      </c>
      <c r="AV134">
        <v>0</v>
      </c>
      <c r="AW134">
        <v>2</v>
      </c>
      <c r="AX134">
        <v>26616551</v>
      </c>
      <c r="AY134">
        <v>1</v>
      </c>
      <c r="AZ134">
        <v>0</v>
      </c>
      <c r="BA134">
        <v>138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Y134*Source!I78</f>
        <v>0.0002</v>
      </c>
      <c r="CY134">
        <f>AA134</f>
        <v>85160.23</v>
      </c>
      <c r="CZ134">
        <f>AE134</f>
        <v>85160.23</v>
      </c>
      <c r="DA134">
        <f>AI134</f>
        <v>1</v>
      </c>
      <c r="DB134">
        <v>0</v>
      </c>
    </row>
    <row r="135" spans="1:106" ht="12.75">
      <c r="A135">
        <f>ROW(Source!A78)</f>
        <v>78</v>
      </c>
      <c r="B135">
        <v>26615678</v>
      </c>
      <c r="C135">
        <v>26616549</v>
      </c>
      <c r="D135">
        <v>25687974</v>
      </c>
      <c r="E135">
        <v>1</v>
      </c>
      <c r="F135">
        <v>1</v>
      </c>
      <c r="G135">
        <v>25674181</v>
      </c>
      <c r="H135">
        <v>3</v>
      </c>
      <c r="I135" t="s">
        <v>320</v>
      </c>
      <c r="J135" t="s">
        <v>321</v>
      </c>
      <c r="K135" t="s">
        <v>322</v>
      </c>
      <c r="L135">
        <v>1348</v>
      </c>
      <c r="N135">
        <v>1013</v>
      </c>
      <c r="O135" t="s">
        <v>67</v>
      </c>
      <c r="P135" t="s">
        <v>67</v>
      </c>
      <c r="Q135">
        <v>1</v>
      </c>
      <c r="W135">
        <v>0</v>
      </c>
      <c r="X135">
        <v>218864245</v>
      </c>
      <c r="Y135">
        <v>0.00056</v>
      </c>
      <c r="AA135">
        <v>142669.85</v>
      </c>
      <c r="AB135">
        <v>0</v>
      </c>
      <c r="AC135">
        <v>0</v>
      </c>
      <c r="AD135">
        <v>0</v>
      </c>
      <c r="AE135">
        <v>142669.85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0.00056</v>
      </c>
      <c r="AV135">
        <v>0</v>
      </c>
      <c r="AW135">
        <v>2</v>
      </c>
      <c r="AX135">
        <v>26616552</v>
      </c>
      <c r="AY135">
        <v>1</v>
      </c>
      <c r="AZ135">
        <v>0</v>
      </c>
      <c r="BA135">
        <v>139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Y135*Source!I78</f>
        <v>0.00056</v>
      </c>
      <c r="CY135">
        <f>AA135</f>
        <v>142669.85</v>
      </c>
      <c r="CZ135">
        <f>AE135</f>
        <v>142669.85</v>
      </c>
      <c r="DA135">
        <f>AI135</f>
        <v>1</v>
      </c>
      <c r="DB135">
        <v>0</v>
      </c>
    </row>
    <row r="136" spans="1:106" ht="12.75">
      <c r="A136">
        <f>ROW(Source!A78)</f>
        <v>78</v>
      </c>
      <c r="B136">
        <v>26615678</v>
      </c>
      <c r="C136">
        <v>26616549</v>
      </c>
      <c r="D136">
        <v>25693269</v>
      </c>
      <c r="E136">
        <v>1</v>
      </c>
      <c r="F136">
        <v>1</v>
      </c>
      <c r="G136">
        <v>25674181</v>
      </c>
      <c r="H136">
        <v>3</v>
      </c>
      <c r="I136" t="s">
        <v>190</v>
      </c>
      <c r="J136" t="s">
        <v>192</v>
      </c>
      <c r="K136" t="s">
        <v>191</v>
      </c>
      <c r="L136">
        <v>1354</v>
      </c>
      <c r="N136">
        <v>1013</v>
      </c>
      <c r="O136" t="s">
        <v>17</v>
      </c>
      <c r="P136" t="s">
        <v>17</v>
      </c>
      <c r="Q136">
        <v>1</v>
      </c>
      <c r="W136">
        <v>0</v>
      </c>
      <c r="X136">
        <v>2017593473</v>
      </c>
      <c r="Y136">
        <v>1</v>
      </c>
      <c r="AA136">
        <v>3414.5</v>
      </c>
      <c r="AB136">
        <v>0</v>
      </c>
      <c r="AC136">
        <v>0</v>
      </c>
      <c r="AD136">
        <v>0</v>
      </c>
      <c r="AE136">
        <v>3414.5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T136">
        <v>1</v>
      </c>
      <c r="AV136">
        <v>0</v>
      </c>
      <c r="AW136">
        <v>1</v>
      </c>
      <c r="AX136">
        <v>-1</v>
      </c>
      <c r="AY136">
        <v>0</v>
      </c>
      <c r="AZ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Y136*Source!I78</f>
        <v>1</v>
      </c>
      <c r="CY136">
        <f>AA136</f>
        <v>3414.5</v>
      </c>
      <c r="CZ136">
        <f>AE136</f>
        <v>3414.5</v>
      </c>
      <c r="DA136">
        <f>AI136</f>
        <v>1</v>
      </c>
      <c r="DB136">
        <v>0</v>
      </c>
    </row>
    <row r="137" spans="1:106" ht="12.75">
      <c r="A137">
        <f>ROW(Source!A80)</f>
        <v>80</v>
      </c>
      <c r="B137">
        <v>26615678</v>
      </c>
      <c r="C137">
        <v>26616557</v>
      </c>
      <c r="D137">
        <v>25674184</v>
      </c>
      <c r="E137">
        <v>25674181</v>
      </c>
      <c r="F137">
        <v>1</v>
      </c>
      <c r="G137">
        <v>25674181</v>
      </c>
      <c r="H137">
        <v>1</v>
      </c>
      <c r="I137" t="s">
        <v>291</v>
      </c>
      <c r="K137" t="s">
        <v>292</v>
      </c>
      <c r="L137">
        <v>1191</v>
      </c>
      <c r="N137">
        <v>1013</v>
      </c>
      <c r="O137" t="s">
        <v>293</v>
      </c>
      <c r="P137" t="s">
        <v>293</v>
      </c>
      <c r="Q137">
        <v>1</v>
      </c>
      <c r="W137">
        <v>0</v>
      </c>
      <c r="X137">
        <v>476480486</v>
      </c>
      <c r="Y137">
        <v>1.18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1.18</v>
      </c>
      <c r="AV137">
        <v>1</v>
      </c>
      <c r="AW137">
        <v>2</v>
      </c>
      <c r="AX137">
        <v>26616558</v>
      </c>
      <c r="AY137">
        <v>1</v>
      </c>
      <c r="AZ137">
        <v>0</v>
      </c>
      <c r="BA137">
        <v>141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Y137*Source!I80</f>
        <v>1.18</v>
      </c>
      <c r="CY137">
        <f>AD137</f>
        <v>0</v>
      </c>
      <c r="CZ137">
        <f>AH137</f>
        <v>0</v>
      </c>
      <c r="DA137">
        <f>AL137</f>
        <v>1</v>
      </c>
      <c r="DB137">
        <v>0</v>
      </c>
    </row>
    <row r="138" spans="1:106" ht="12.75">
      <c r="A138">
        <f>ROW(Source!A80)</f>
        <v>80</v>
      </c>
      <c r="B138">
        <v>26615678</v>
      </c>
      <c r="C138">
        <v>26616557</v>
      </c>
      <c r="D138">
        <v>25693185</v>
      </c>
      <c r="E138">
        <v>1</v>
      </c>
      <c r="F138">
        <v>1</v>
      </c>
      <c r="G138">
        <v>25674181</v>
      </c>
      <c r="H138">
        <v>3</v>
      </c>
      <c r="I138" t="s">
        <v>198</v>
      </c>
      <c r="J138" t="s">
        <v>200</v>
      </c>
      <c r="K138" t="s">
        <v>199</v>
      </c>
      <c r="L138">
        <v>1354</v>
      </c>
      <c r="N138">
        <v>1013</v>
      </c>
      <c r="O138" t="s">
        <v>17</v>
      </c>
      <c r="P138" t="s">
        <v>17</v>
      </c>
      <c r="Q138">
        <v>1</v>
      </c>
      <c r="W138">
        <v>0</v>
      </c>
      <c r="X138">
        <v>-1373508520</v>
      </c>
      <c r="Y138">
        <v>1</v>
      </c>
      <c r="AA138">
        <v>2660.52</v>
      </c>
      <c r="AB138">
        <v>0</v>
      </c>
      <c r="AC138">
        <v>0</v>
      </c>
      <c r="AD138">
        <v>0</v>
      </c>
      <c r="AE138">
        <v>2660.52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T138">
        <v>1</v>
      </c>
      <c r="AV138">
        <v>0</v>
      </c>
      <c r="AW138">
        <v>1</v>
      </c>
      <c r="AX138">
        <v>-1</v>
      </c>
      <c r="AY138">
        <v>0</v>
      </c>
      <c r="AZ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Y138*Source!I80</f>
        <v>1</v>
      </c>
      <c r="CY138">
        <f>AA138</f>
        <v>2660.52</v>
      </c>
      <c r="CZ138">
        <f>AE138</f>
        <v>2660.52</v>
      </c>
      <c r="DA138">
        <f>AI138</f>
        <v>1</v>
      </c>
      <c r="DB138">
        <v>0</v>
      </c>
    </row>
    <row r="139" spans="1:106" ht="12.75">
      <c r="A139">
        <f>ROW(Source!A82)</f>
        <v>82</v>
      </c>
      <c r="B139">
        <v>26615678</v>
      </c>
      <c r="C139">
        <v>26616563</v>
      </c>
      <c r="D139">
        <v>25674184</v>
      </c>
      <c r="E139">
        <v>25674181</v>
      </c>
      <c r="F139">
        <v>1</v>
      </c>
      <c r="G139">
        <v>25674181</v>
      </c>
      <c r="H139">
        <v>1</v>
      </c>
      <c r="I139" t="s">
        <v>291</v>
      </c>
      <c r="K139" t="s">
        <v>292</v>
      </c>
      <c r="L139">
        <v>1191</v>
      </c>
      <c r="N139">
        <v>1013</v>
      </c>
      <c r="O139" t="s">
        <v>293</v>
      </c>
      <c r="P139" t="s">
        <v>293</v>
      </c>
      <c r="Q139">
        <v>1</v>
      </c>
      <c r="W139">
        <v>0</v>
      </c>
      <c r="X139">
        <v>476480486</v>
      </c>
      <c r="Y139">
        <v>6.9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6.9</v>
      </c>
      <c r="AV139">
        <v>1</v>
      </c>
      <c r="AW139">
        <v>2</v>
      </c>
      <c r="AX139">
        <v>26616564</v>
      </c>
      <c r="AY139">
        <v>1</v>
      </c>
      <c r="AZ139">
        <v>0</v>
      </c>
      <c r="BA139">
        <v>143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Y139*Source!I82</f>
        <v>6.9</v>
      </c>
      <c r="CY139">
        <f>AD139</f>
        <v>0</v>
      </c>
      <c r="CZ139">
        <f>AH139</f>
        <v>0</v>
      </c>
      <c r="DA139">
        <f>AL139</f>
        <v>1</v>
      </c>
      <c r="DB139">
        <v>0</v>
      </c>
    </row>
    <row r="140" spans="1:106" ht="12.75">
      <c r="A140">
        <f>ROW(Source!A82)</f>
        <v>82</v>
      </c>
      <c r="B140">
        <v>26615678</v>
      </c>
      <c r="C140">
        <v>26616563</v>
      </c>
      <c r="D140">
        <v>25686786</v>
      </c>
      <c r="E140">
        <v>1</v>
      </c>
      <c r="F140">
        <v>1</v>
      </c>
      <c r="G140">
        <v>25674181</v>
      </c>
      <c r="H140">
        <v>3</v>
      </c>
      <c r="I140" t="s">
        <v>364</v>
      </c>
      <c r="J140" t="s">
        <v>365</v>
      </c>
      <c r="K140" t="s">
        <v>366</v>
      </c>
      <c r="L140">
        <v>1348</v>
      </c>
      <c r="N140">
        <v>1013</v>
      </c>
      <c r="O140" t="s">
        <v>67</v>
      </c>
      <c r="P140" t="s">
        <v>67</v>
      </c>
      <c r="Q140">
        <v>1</v>
      </c>
      <c r="W140">
        <v>0</v>
      </c>
      <c r="X140">
        <v>128113571</v>
      </c>
      <c r="Y140">
        <v>0.0014</v>
      </c>
      <c r="AA140">
        <v>116144.67</v>
      </c>
      <c r="AB140">
        <v>0</v>
      </c>
      <c r="AC140">
        <v>0</v>
      </c>
      <c r="AD140">
        <v>0</v>
      </c>
      <c r="AE140">
        <v>116144.67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0.0014</v>
      </c>
      <c r="AV140">
        <v>0</v>
      </c>
      <c r="AW140">
        <v>2</v>
      </c>
      <c r="AX140">
        <v>26616565</v>
      </c>
      <c r="AY140">
        <v>1</v>
      </c>
      <c r="AZ140">
        <v>0</v>
      </c>
      <c r="BA140">
        <v>144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Y140*Source!I82</f>
        <v>0.0014</v>
      </c>
      <c r="CY140">
        <f>AA140</f>
        <v>116144.67</v>
      </c>
      <c r="CZ140">
        <f>AE140</f>
        <v>116144.67</v>
      </c>
      <c r="DA140">
        <f>AI140</f>
        <v>1</v>
      </c>
      <c r="DB140">
        <v>0</v>
      </c>
    </row>
    <row r="141" spans="1:106" ht="12.75">
      <c r="A141">
        <f>ROW(Source!A82)</f>
        <v>82</v>
      </c>
      <c r="B141">
        <v>26615678</v>
      </c>
      <c r="C141">
        <v>26616563</v>
      </c>
      <c r="D141">
        <v>25686794</v>
      </c>
      <c r="E141">
        <v>1</v>
      </c>
      <c r="F141">
        <v>1</v>
      </c>
      <c r="G141">
        <v>25674181</v>
      </c>
      <c r="H141">
        <v>3</v>
      </c>
      <c r="I141" t="s">
        <v>314</v>
      </c>
      <c r="J141" t="s">
        <v>315</v>
      </c>
      <c r="K141" t="s">
        <v>316</v>
      </c>
      <c r="L141">
        <v>1348</v>
      </c>
      <c r="N141">
        <v>1013</v>
      </c>
      <c r="O141" t="s">
        <v>67</v>
      </c>
      <c r="P141" t="s">
        <v>67</v>
      </c>
      <c r="Q141">
        <v>1</v>
      </c>
      <c r="W141">
        <v>0</v>
      </c>
      <c r="X141">
        <v>-441702737</v>
      </c>
      <c r="Y141">
        <v>7E-05</v>
      </c>
      <c r="AA141">
        <v>85160.23</v>
      </c>
      <c r="AB141">
        <v>0</v>
      </c>
      <c r="AC141">
        <v>0</v>
      </c>
      <c r="AD141">
        <v>0</v>
      </c>
      <c r="AE141">
        <v>85160.23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7E-05</v>
      </c>
      <c r="AV141">
        <v>0</v>
      </c>
      <c r="AW141">
        <v>2</v>
      </c>
      <c r="AX141">
        <v>26616566</v>
      </c>
      <c r="AY141">
        <v>1</v>
      </c>
      <c r="AZ141">
        <v>0</v>
      </c>
      <c r="BA141">
        <v>145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Y141*Source!I82</f>
        <v>7E-05</v>
      </c>
      <c r="CY141">
        <f>AA141</f>
        <v>85160.23</v>
      </c>
      <c r="CZ141">
        <f>AE141</f>
        <v>85160.23</v>
      </c>
      <c r="DA141">
        <f>AI141</f>
        <v>1</v>
      </c>
      <c r="DB141">
        <v>0</v>
      </c>
    </row>
    <row r="142" spans="1:106" ht="12.75">
      <c r="A142">
        <f>ROW(Source!A82)</f>
        <v>82</v>
      </c>
      <c r="B142">
        <v>26615678</v>
      </c>
      <c r="C142">
        <v>26616563</v>
      </c>
      <c r="D142">
        <v>25687974</v>
      </c>
      <c r="E142">
        <v>1</v>
      </c>
      <c r="F142">
        <v>1</v>
      </c>
      <c r="G142">
        <v>25674181</v>
      </c>
      <c r="H142">
        <v>3</v>
      </c>
      <c r="I142" t="s">
        <v>320</v>
      </c>
      <c r="J142" t="s">
        <v>321</v>
      </c>
      <c r="K142" t="s">
        <v>322</v>
      </c>
      <c r="L142">
        <v>1348</v>
      </c>
      <c r="N142">
        <v>1013</v>
      </c>
      <c r="O142" t="s">
        <v>67</v>
      </c>
      <c r="P142" t="s">
        <v>67</v>
      </c>
      <c r="Q142">
        <v>1</v>
      </c>
      <c r="W142">
        <v>0</v>
      </c>
      <c r="X142">
        <v>218864245</v>
      </c>
      <c r="Y142">
        <v>0.00022</v>
      </c>
      <c r="AA142">
        <v>142669.85</v>
      </c>
      <c r="AB142">
        <v>0</v>
      </c>
      <c r="AC142">
        <v>0</v>
      </c>
      <c r="AD142">
        <v>0</v>
      </c>
      <c r="AE142">
        <v>142669.85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0.00022</v>
      </c>
      <c r="AV142">
        <v>0</v>
      </c>
      <c r="AW142">
        <v>2</v>
      </c>
      <c r="AX142">
        <v>26616567</v>
      </c>
      <c r="AY142">
        <v>1</v>
      </c>
      <c r="AZ142">
        <v>0</v>
      </c>
      <c r="BA142">
        <v>146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Y142*Source!I82</f>
        <v>0.00022</v>
      </c>
      <c r="CY142">
        <f>AA142</f>
        <v>142669.85</v>
      </c>
      <c r="CZ142">
        <f>AE142</f>
        <v>142669.85</v>
      </c>
      <c r="DA142">
        <f>AI142</f>
        <v>1</v>
      </c>
      <c r="DB142">
        <v>0</v>
      </c>
    </row>
    <row r="143" spans="1:106" ht="12.75">
      <c r="A143">
        <f>ROW(Source!A82)</f>
        <v>82</v>
      </c>
      <c r="B143">
        <v>26615678</v>
      </c>
      <c r="C143">
        <v>26616563</v>
      </c>
      <c r="D143">
        <v>0</v>
      </c>
      <c r="E143">
        <v>0</v>
      </c>
      <c r="F143">
        <v>1</v>
      </c>
      <c r="G143">
        <v>25674181</v>
      </c>
      <c r="H143">
        <v>3</v>
      </c>
      <c r="I143" t="s">
        <v>206</v>
      </c>
      <c r="K143" t="s">
        <v>207</v>
      </c>
      <c r="L143">
        <v>1371</v>
      </c>
      <c r="N143">
        <v>1013</v>
      </c>
      <c r="O143" t="s">
        <v>25</v>
      </c>
      <c r="P143" t="s">
        <v>25</v>
      </c>
      <c r="Q143">
        <v>1</v>
      </c>
      <c r="W143">
        <v>0</v>
      </c>
      <c r="X143">
        <v>1524000057</v>
      </c>
      <c r="Y143">
        <v>1</v>
      </c>
      <c r="AA143">
        <v>7622.08</v>
      </c>
      <c r="AB143">
        <v>0</v>
      </c>
      <c r="AC143">
        <v>0</v>
      </c>
      <c r="AD143">
        <v>0</v>
      </c>
      <c r="AE143">
        <v>7622.08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T143">
        <v>1</v>
      </c>
      <c r="AV143">
        <v>0</v>
      </c>
      <c r="AW143">
        <v>1</v>
      </c>
      <c r="AX143">
        <v>-1</v>
      </c>
      <c r="AY143">
        <v>0</v>
      </c>
      <c r="AZ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Y143*Source!I82</f>
        <v>1</v>
      </c>
      <c r="CY143">
        <f>AA143</f>
        <v>7622.08</v>
      </c>
      <c r="CZ143">
        <f>AE143</f>
        <v>7622.08</v>
      </c>
      <c r="DA143">
        <f>AI143</f>
        <v>1</v>
      </c>
      <c r="DB143">
        <v>0</v>
      </c>
    </row>
    <row r="144" spans="1:106" ht="12.75">
      <c r="A144">
        <f>ROW(Source!A115)</f>
        <v>115</v>
      </c>
      <c r="B144">
        <v>26615678</v>
      </c>
      <c r="C144">
        <v>26616098</v>
      </c>
      <c r="D144">
        <v>25674184</v>
      </c>
      <c r="E144">
        <v>25674181</v>
      </c>
      <c r="F144">
        <v>1</v>
      </c>
      <c r="G144">
        <v>25674181</v>
      </c>
      <c r="H144">
        <v>1</v>
      </c>
      <c r="I144" t="s">
        <v>291</v>
      </c>
      <c r="K144" t="s">
        <v>292</v>
      </c>
      <c r="L144">
        <v>1191</v>
      </c>
      <c r="N144">
        <v>1013</v>
      </c>
      <c r="O144" t="s">
        <v>293</v>
      </c>
      <c r="P144" t="s">
        <v>293</v>
      </c>
      <c r="Q144">
        <v>1</v>
      </c>
      <c r="W144">
        <v>0</v>
      </c>
      <c r="X144">
        <v>476480486</v>
      </c>
      <c r="Y144">
        <v>29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29</v>
      </c>
      <c r="AV144">
        <v>1</v>
      </c>
      <c r="AW144">
        <v>2</v>
      </c>
      <c r="AX144">
        <v>26616100</v>
      </c>
      <c r="AY144">
        <v>1</v>
      </c>
      <c r="AZ144">
        <v>0</v>
      </c>
      <c r="BA144">
        <v>149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Y144*Source!I115</f>
        <v>23.200000000000003</v>
      </c>
      <c r="CY144">
        <f>AD144</f>
        <v>0</v>
      </c>
      <c r="CZ144">
        <f>AH144</f>
        <v>0</v>
      </c>
      <c r="DA144">
        <f>AL144</f>
        <v>1</v>
      </c>
      <c r="DB144">
        <v>0</v>
      </c>
    </row>
    <row r="145" spans="1:106" ht="12.75">
      <c r="A145">
        <f>ROW(Source!A116)</f>
        <v>116</v>
      </c>
      <c r="B145">
        <v>26615678</v>
      </c>
      <c r="C145">
        <v>26616101</v>
      </c>
      <c r="D145">
        <v>25674184</v>
      </c>
      <c r="E145">
        <v>25674181</v>
      </c>
      <c r="F145">
        <v>1</v>
      </c>
      <c r="G145">
        <v>25674181</v>
      </c>
      <c r="H145">
        <v>1</v>
      </c>
      <c r="I145" t="s">
        <v>291</v>
      </c>
      <c r="K145" t="s">
        <v>292</v>
      </c>
      <c r="L145">
        <v>1191</v>
      </c>
      <c r="N145">
        <v>1013</v>
      </c>
      <c r="O145" t="s">
        <v>293</v>
      </c>
      <c r="P145" t="s">
        <v>293</v>
      </c>
      <c r="Q145">
        <v>1</v>
      </c>
      <c r="W145">
        <v>0</v>
      </c>
      <c r="X145">
        <v>476480486</v>
      </c>
      <c r="Y145">
        <v>23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23</v>
      </c>
      <c r="AV145">
        <v>1</v>
      </c>
      <c r="AW145">
        <v>2</v>
      </c>
      <c r="AX145">
        <v>26616103</v>
      </c>
      <c r="AY145">
        <v>1</v>
      </c>
      <c r="AZ145">
        <v>0</v>
      </c>
      <c r="BA145">
        <v>150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Y145*Source!I116</f>
        <v>18.974999999999998</v>
      </c>
      <c r="CY145">
        <f>AD145</f>
        <v>0</v>
      </c>
      <c r="CZ145">
        <f>AH145</f>
        <v>0</v>
      </c>
      <c r="DA145">
        <f>AL145</f>
        <v>1</v>
      </c>
      <c r="DB145">
        <v>0</v>
      </c>
    </row>
    <row r="146" spans="1:106" ht="12.75">
      <c r="A146">
        <f>ROW(Source!A117)</f>
        <v>117</v>
      </c>
      <c r="B146">
        <v>26615678</v>
      </c>
      <c r="C146">
        <v>26616104</v>
      </c>
      <c r="D146">
        <v>25674184</v>
      </c>
      <c r="E146">
        <v>25674181</v>
      </c>
      <c r="F146">
        <v>1</v>
      </c>
      <c r="G146">
        <v>25674181</v>
      </c>
      <c r="H146">
        <v>1</v>
      </c>
      <c r="I146" t="s">
        <v>291</v>
      </c>
      <c r="K146" t="s">
        <v>292</v>
      </c>
      <c r="L146">
        <v>1191</v>
      </c>
      <c r="N146">
        <v>1013</v>
      </c>
      <c r="O146" t="s">
        <v>293</v>
      </c>
      <c r="P146" t="s">
        <v>293</v>
      </c>
      <c r="Q146">
        <v>1</v>
      </c>
      <c r="W146">
        <v>0</v>
      </c>
      <c r="X146">
        <v>476480486</v>
      </c>
      <c r="Y146">
        <v>20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20</v>
      </c>
      <c r="AV146">
        <v>1</v>
      </c>
      <c r="AW146">
        <v>2</v>
      </c>
      <c r="AX146">
        <v>26616106</v>
      </c>
      <c r="AY146">
        <v>1</v>
      </c>
      <c r="AZ146">
        <v>0</v>
      </c>
      <c r="BA146">
        <v>151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Y146*Source!I117</f>
        <v>13.08</v>
      </c>
      <c r="CY146">
        <f>AD146</f>
        <v>0</v>
      </c>
      <c r="CZ146">
        <f>AH146</f>
        <v>0</v>
      </c>
      <c r="DA146">
        <f>AL146</f>
        <v>1</v>
      </c>
      <c r="DB146">
        <v>0</v>
      </c>
    </row>
    <row r="147" spans="1:106" ht="12.75">
      <c r="A147">
        <f>ROW(Source!A118)</f>
        <v>118</v>
      </c>
      <c r="B147">
        <v>26615678</v>
      </c>
      <c r="C147">
        <v>26616107</v>
      </c>
      <c r="D147">
        <v>25674184</v>
      </c>
      <c r="E147">
        <v>25674181</v>
      </c>
      <c r="F147">
        <v>1</v>
      </c>
      <c r="G147">
        <v>25674181</v>
      </c>
      <c r="H147">
        <v>1</v>
      </c>
      <c r="I147" t="s">
        <v>291</v>
      </c>
      <c r="K147" t="s">
        <v>292</v>
      </c>
      <c r="L147">
        <v>1191</v>
      </c>
      <c r="N147">
        <v>1013</v>
      </c>
      <c r="O147" t="s">
        <v>293</v>
      </c>
      <c r="P147" t="s">
        <v>293</v>
      </c>
      <c r="Q147">
        <v>1</v>
      </c>
      <c r="W147">
        <v>0</v>
      </c>
      <c r="X147">
        <v>476480486</v>
      </c>
      <c r="Y147">
        <v>120.59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120.59</v>
      </c>
      <c r="AV147">
        <v>1</v>
      </c>
      <c r="AW147">
        <v>2</v>
      </c>
      <c r="AX147">
        <v>26616110</v>
      </c>
      <c r="AY147">
        <v>1</v>
      </c>
      <c r="AZ147">
        <v>0</v>
      </c>
      <c r="BA147">
        <v>152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Y147*Source!I118</f>
        <v>1.2059</v>
      </c>
      <c r="CY147">
        <f>AD147</f>
        <v>0</v>
      </c>
      <c r="CZ147">
        <f>AH147</f>
        <v>0</v>
      </c>
      <c r="DA147">
        <f>AL147</f>
        <v>1</v>
      </c>
      <c r="DB147">
        <v>0</v>
      </c>
    </row>
    <row r="148" spans="1:106" ht="12.75">
      <c r="A148">
        <f>ROW(Source!A118)</f>
        <v>118</v>
      </c>
      <c r="B148">
        <v>26615678</v>
      </c>
      <c r="C148">
        <v>26616107</v>
      </c>
      <c r="D148">
        <v>25675795</v>
      </c>
      <c r="E148">
        <v>25674181</v>
      </c>
      <c r="F148">
        <v>1</v>
      </c>
      <c r="G148">
        <v>25674181</v>
      </c>
      <c r="H148">
        <v>3</v>
      </c>
      <c r="I148" t="s">
        <v>385</v>
      </c>
      <c r="K148" t="s">
        <v>386</v>
      </c>
      <c r="L148">
        <v>1348</v>
      </c>
      <c r="N148">
        <v>1013</v>
      </c>
      <c r="O148" t="s">
        <v>67</v>
      </c>
      <c r="P148" t="s">
        <v>67</v>
      </c>
      <c r="Q148">
        <v>1</v>
      </c>
      <c r="W148">
        <v>0</v>
      </c>
      <c r="X148">
        <v>1489638031</v>
      </c>
      <c r="Y148">
        <v>8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8</v>
      </c>
      <c r="AV148">
        <v>0</v>
      </c>
      <c r="AW148">
        <v>2</v>
      </c>
      <c r="AX148">
        <v>26616111</v>
      </c>
      <c r="AY148">
        <v>1</v>
      </c>
      <c r="AZ148">
        <v>0</v>
      </c>
      <c r="BA148">
        <v>153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Y148*Source!I118</f>
        <v>0.08</v>
      </c>
      <c r="CY148">
        <f>AA148</f>
        <v>0</v>
      </c>
      <c r="CZ148">
        <f>AE148</f>
        <v>0</v>
      </c>
      <c r="DA148">
        <f>AI148</f>
        <v>1</v>
      </c>
      <c r="DB148">
        <v>0</v>
      </c>
    </row>
    <row r="149" spans="1:106" ht="12.75">
      <c r="A149">
        <f>ROW(Source!A119)</f>
        <v>119</v>
      </c>
      <c r="B149">
        <v>26615678</v>
      </c>
      <c r="C149">
        <v>26616112</v>
      </c>
      <c r="D149">
        <v>25674184</v>
      </c>
      <c r="E149">
        <v>25674181</v>
      </c>
      <c r="F149">
        <v>1</v>
      </c>
      <c r="G149">
        <v>25674181</v>
      </c>
      <c r="H149">
        <v>1</v>
      </c>
      <c r="I149" t="s">
        <v>291</v>
      </c>
      <c r="K149" t="s">
        <v>292</v>
      </c>
      <c r="L149">
        <v>1191</v>
      </c>
      <c r="N149">
        <v>1013</v>
      </c>
      <c r="O149" t="s">
        <v>293</v>
      </c>
      <c r="P149" t="s">
        <v>293</v>
      </c>
      <c r="Q149">
        <v>1</v>
      </c>
      <c r="W149">
        <v>0</v>
      </c>
      <c r="X149">
        <v>476480486</v>
      </c>
      <c r="Y149">
        <v>46.19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46.19</v>
      </c>
      <c r="AV149">
        <v>1</v>
      </c>
      <c r="AW149">
        <v>2</v>
      </c>
      <c r="AX149">
        <v>26616116</v>
      </c>
      <c r="AY149">
        <v>1</v>
      </c>
      <c r="AZ149">
        <v>0</v>
      </c>
      <c r="BA149">
        <v>154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Y149*Source!I119</f>
        <v>8.3142</v>
      </c>
      <c r="CY149">
        <f>AD149</f>
        <v>0</v>
      </c>
      <c r="CZ149">
        <f>AH149</f>
        <v>0</v>
      </c>
      <c r="DA149">
        <f>AL149</f>
        <v>1</v>
      </c>
      <c r="DB149">
        <v>0</v>
      </c>
    </row>
    <row r="150" spans="1:106" ht="12.75">
      <c r="A150">
        <f>ROW(Source!A119)</f>
        <v>119</v>
      </c>
      <c r="B150">
        <v>26615678</v>
      </c>
      <c r="C150">
        <v>26616112</v>
      </c>
      <c r="D150">
        <v>25685976</v>
      </c>
      <c r="E150">
        <v>1</v>
      </c>
      <c r="F150">
        <v>1</v>
      </c>
      <c r="G150">
        <v>25674181</v>
      </c>
      <c r="H150">
        <v>3</v>
      </c>
      <c r="I150" t="s">
        <v>387</v>
      </c>
      <c r="J150" t="s">
        <v>388</v>
      </c>
      <c r="K150" t="s">
        <v>389</v>
      </c>
      <c r="L150">
        <v>1348</v>
      </c>
      <c r="N150">
        <v>1013</v>
      </c>
      <c r="O150" t="s">
        <v>67</v>
      </c>
      <c r="P150" t="s">
        <v>67</v>
      </c>
      <c r="Q150">
        <v>1</v>
      </c>
      <c r="W150">
        <v>0</v>
      </c>
      <c r="X150">
        <v>-417247790</v>
      </c>
      <c r="Y150">
        <v>0.05</v>
      </c>
      <c r="AA150">
        <v>3589.54</v>
      </c>
      <c r="AB150">
        <v>0</v>
      </c>
      <c r="AC150">
        <v>0</v>
      </c>
      <c r="AD150">
        <v>0</v>
      </c>
      <c r="AE150">
        <v>3589.54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0.05</v>
      </c>
      <c r="AV150">
        <v>0</v>
      </c>
      <c r="AW150">
        <v>2</v>
      </c>
      <c r="AX150">
        <v>26616117</v>
      </c>
      <c r="AY150">
        <v>1</v>
      </c>
      <c r="AZ150">
        <v>0</v>
      </c>
      <c r="BA150">
        <v>155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Y150*Source!I119</f>
        <v>0.009</v>
      </c>
      <c r="CY150">
        <f>AA150</f>
        <v>3589.54</v>
      </c>
      <c r="CZ150">
        <f>AE150</f>
        <v>3589.54</v>
      </c>
      <c r="DA150">
        <f>AI150</f>
        <v>1</v>
      </c>
      <c r="DB150">
        <v>0</v>
      </c>
    </row>
    <row r="151" spans="1:106" ht="12.75">
      <c r="A151">
        <f>ROW(Source!A119)</f>
        <v>119</v>
      </c>
      <c r="B151">
        <v>26615678</v>
      </c>
      <c r="C151">
        <v>26616112</v>
      </c>
      <c r="D151">
        <v>25693086</v>
      </c>
      <c r="E151">
        <v>1</v>
      </c>
      <c r="F151">
        <v>1</v>
      </c>
      <c r="G151">
        <v>25674181</v>
      </c>
      <c r="H151">
        <v>3</v>
      </c>
      <c r="I151" t="s">
        <v>390</v>
      </c>
      <c r="J151" t="s">
        <v>391</v>
      </c>
      <c r="K151" t="s">
        <v>392</v>
      </c>
      <c r="L151">
        <v>1354</v>
      </c>
      <c r="N151">
        <v>1013</v>
      </c>
      <c r="O151" t="s">
        <v>17</v>
      </c>
      <c r="P151" t="s">
        <v>17</v>
      </c>
      <c r="Q151">
        <v>1</v>
      </c>
      <c r="W151">
        <v>0</v>
      </c>
      <c r="X151">
        <v>-1603906887</v>
      </c>
      <c r="Y151">
        <v>100</v>
      </c>
      <c r="AA151">
        <v>155.31</v>
      </c>
      <c r="AB151">
        <v>0</v>
      </c>
      <c r="AC151">
        <v>0</v>
      </c>
      <c r="AD151">
        <v>0</v>
      </c>
      <c r="AE151">
        <v>155.31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100</v>
      </c>
      <c r="AV151">
        <v>0</v>
      </c>
      <c r="AW151">
        <v>2</v>
      </c>
      <c r="AX151">
        <v>26616118</v>
      </c>
      <c r="AY151">
        <v>1</v>
      </c>
      <c r="AZ151">
        <v>0</v>
      </c>
      <c r="BA151">
        <v>156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Y151*Source!I119</f>
        <v>18</v>
      </c>
      <c r="CY151">
        <f>AA151</f>
        <v>155.31</v>
      </c>
      <c r="CZ151">
        <f>AE151</f>
        <v>155.31</v>
      </c>
      <c r="DA151">
        <f>AI151</f>
        <v>1</v>
      </c>
      <c r="DB151">
        <v>0</v>
      </c>
    </row>
    <row r="152" spans="1:106" ht="12.75">
      <c r="A152">
        <f>ROW(Source!A120)</f>
        <v>120</v>
      </c>
      <c r="B152">
        <v>26615678</v>
      </c>
      <c r="C152">
        <v>26616119</v>
      </c>
      <c r="D152">
        <v>25674184</v>
      </c>
      <c r="E152">
        <v>25674181</v>
      </c>
      <c r="F152">
        <v>1</v>
      </c>
      <c r="G152">
        <v>25674181</v>
      </c>
      <c r="H152">
        <v>1</v>
      </c>
      <c r="I152" t="s">
        <v>291</v>
      </c>
      <c r="K152" t="s">
        <v>292</v>
      </c>
      <c r="L152">
        <v>1191</v>
      </c>
      <c r="N152">
        <v>1013</v>
      </c>
      <c r="O152" t="s">
        <v>293</v>
      </c>
      <c r="P152" t="s">
        <v>293</v>
      </c>
      <c r="Q152">
        <v>1</v>
      </c>
      <c r="W152">
        <v>0</v>
      </c>
      <c r="X152">
        <v>476480486</v>
      </c>
      <c r="Y152">
        <v>69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69</v>
      </c>
      <c r="AV152">
        <v>1</v>
      </c>
      <c r="AW152">
        <v>2</v>
      </c>
      <c r="AX152">
        <v>26616121</v>
      </c>
      <c r="AY152">
        <v>1</v>
      </c>
      <c r="AZ152">
        <v>0</v>
      </c>
      <c r="BA152">
        <v>157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Y152*Source!I120</f>
        <v>13.8</v>
      </c>
      <c r="CY152">
        <f>AD152</f>
        <v>0</v>
      </c>
      <c r="CZ152">
        <f>AH152</f>
        <v>0</v>
      </c>
      <c r="DA152">
        <f>AL152</f>
        <v>1</v>
      </c>
      <c r="DB152">
        <v>0</v>
      </c>
    </row>
    <row r="153" spans="1:106" ht="12.75">
      <c r="A153">
        <f>ROW(Source!A152)</f>
        <v>152</v>
      </c>
      <c r="B153">
        <v>26615678</v>
      </c>
      <c r="C153">
        <v>26616122</v>
      </c>
      <c r="D153">
        <v>25674184</v>
      </c>
      <c r="E153">
        <v>25674181</v>
      </c>
      <c r="F153">
        <v>1</v>
      </c>
      <c r="G153">
        <v>25674181</v>
      </c>
      <c r="H153">
        <v>1</v>
      </c>
      <c r="I153" t="s">
        <v>291</v>
      </c>
      <c r="K153" t="s">
        <v>292</v>
      </c>
      <c r="L153">
        <v>1191</v>
      </c>
      <c r="N153">
        <v>1013</v>
      </c>
      <c r="O153" t="s">
        <v>293</v>
      </c>
      <c r="P153" t="s">
        <v>293</v>
      </c>
      <c r="Q153">
        <v>1</v>
      </c>
      <c r="W153">
        <v>0</v>
      </c>
      <c r="X153">
        <v>476480486</v>
      </c>
      <c r="Y153">
        <v>283.52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283.52</v>
      </c>
      <c r="AV153">
        <v>1</v>
      </c>
      <c r="AW153">
        <v>2</v>
      </c>
      <c r="AX153">
        <v>26616133</v>
      </c>
      <c r="AY153">
        <v>1</v>
      </c>
      <c r="AZ153">
        <v>0</v>
      </c>
      <c r="BA153">
        <v>158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Y153*Source!I152</f>
        <v>43.9456</v>
      </c>
      <c r="CY153">
        <f>AD153</f>
        <v>0</v>
      </c>
      <c r="CZ153">
        <f>AH153</f>
        <v>0</v>
      </c>
      <c r="DA153">
        <f>AL153</f>
        <v>1</v>
      </c>
      <c r="DB153">
        <v>0</v>
      </c>
    </row>
    <row r="154" spans="1:106" ht="12.75">
      <c r="A154">
        <f>ROW(Source!A152)</f>
        <v>152</v>
      </c>
      <c r="B154">
        <v>26615678</v>
      </c>
      <c r="C154">
        <v>26616122</v>
      </c>
      <c r="D154">
        <v>25685493</v>
      </c>
      <c r="E154">
        <v>1</v>
      </c>
      <c r="F154">
        <v>1</v>
      </c>
      <c r="G154">
        <v>25674181</v>
      </c>
      <c r="H154">
        <v>2</v>
      </c>
      <c r="I154" t="s">
        <v>393</v>
      </c>
      <c r="J154" t="s">
        <v>394</v>
      </c>
      <c r="K154" t="s">
        <v>395</v>
      </c>
      <c r="L154">
        <v>1368</v>
      </c>
      <c r="N154">
        <v>1011</v>
      </c>
      <c r="O154" t="s">
        <v>300</v>
      </c>
      <c r="P154" t="s">
        <v>300</v>
      </c>
      <c r="Q154">
        <v>1</v>
      </c>
      <c r="W154">
        <v>0</v>
      </c>
      <c r="X154">
        <v>762600024</v>
      </c>
      <c r="Y154">
        <v>47.81</v>
      </c>
      <c r="AA154">
        <v>0</v>
      </c>
      <c r="AB154">
        <v>566.36</v>
      </c>
      <c r="AC154">
        <v>309.03</v>
      </c>
      <c r="AD154">
        <v>0</v>
      </c>
      <c r="AE154">
        <v>0</v>
      </c>
      <c r="AF154">
        <v>566.36</v>
      </c>
      <c r="AG154">
        <v>309.03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47.81</v>
      </c>
      <c r="AV154">
        <v>0</v>
      </c>
      <c r="AW154">
        <v>2</v>
      </c>
      <c r="AX154">
        <v>26616134</v>
      </c>
      <c r="AY154">
        <v>1</v>
      </c>
      <c r="AZ154">
        <v>0</v>
      </c>
      <c r="BA154">
        <v>159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Y154*Source!I152</f>
        <v>7.410550000000001</v>
      </c>
      <c r="CY154">
        <f>AB154</f>
        <v>566.36</v>
      </c>
      <c r="CZ154">
        <f>AF154</f>
        <v>566.36</v>
      </c>
      <c r="DA154">
        <f>AJ154</f>
        <v>1</v>
      </c>
      <c r="DB154">
        <v>0</v>
      </c>
    </row>
    <row r="155" spans="1:106" ht="12.75">
      <c r="A155">
        <f>ROW(Source!A152)</f>
        <v>152</v>
      </c>
      <c r="B155">
        <v>26615678</v>
      </c>
      <c r="C155">
        <v>26616122</v>
      </c>
      <c r="D155">
        <v>25685377</v>
      </c>
      <c r="E155">
        <v>1</v>
      </c>
      <c r="F155">
        <v>1</v>
      </c>
      <c r="G155">
        <v>25674181</v>
      </c>
      <c r="H155">
        <v>2</v>
      </c>
      <c r="I155" t="s">
        <v>396</v>
      </c>
      <c r="J155" t="s">
        <v>397</v>
      </c>
      <c r="K155" t="s">
        <v>398</v>
      </c>
      <c r="L155">
        <v>1368</v>
      </c>
      <c r="N155">
        <v>1011</v>
      </c>
      <c r="O155" t="s">
        <v>300</v>
      </c>
      <c r="P155" t="s">
        <v>300</v>
      </c>
      <c r="Q155">
        <v>1</v>
      </c>
      <c r="W155">
        <v>0</v>
      </c>
      <c r="X155">
        <v>203435985</v>
      </c>
      <c r="Y155">
        <v>47.81</v>
      </c>
      <c r="AA155">
        <v>0</v>
      </c>
      <c r="AB155">
        <v>389.94</v>
      </c>
      <c r="AC155">
        <v>89.28</v>
      </c>
      <c r="AD155">
        <v>0</v>
      </c>
      <c r="AE155">
        <v>0</v>
      </c>
      <c r="AF155">
        <v>389.94</v>
      </c>
      <c r="AG155">
        <v>89.28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47.81</v>
      </c>
      <c r="AV155">
        <v>0</v>
      </c>
      <c r="AW155">
        <v>2</v>
      </c>
      <c r="AX155">
        <v>26616135</v>
      </c>
      <c r="AY155">
        <v>1</v>
      </c>
      <c r="AZ155">
        <v>0</v>
      </c>
      <c r="BA155">
        <v>160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Y155*Source!I152</f>
        <v>7.410550000000001</v>
      </c>
      <c r="CY155">
        <f>AB155</f>
        <v>389.94</v>
      </c>
      <c r="CZ155">
        <f>AF155</f>
        <v>389.94</v>
      </c>
      <c r="DA155">
        <f>AJ155</f>
        <v>1</v>
      </c>
      <c r="DB155">
        <v>0</v>
      </c>
    </row>
    <row r="156" spans="1:106" ht="12.75">
      <c r="A156">
        <f>ROW(Source!A152)</f>
        <v>152</v>
      </c>
      <c r="B156">
        <v>26615678</v>
      </c>
      <c r="C156">
        <v>26616122</v>
      </c>
      <c r="D156">
        <v>25685102</v>
      </c>
      <c r="E156">
        <v>1</v>
      </c>
      <c r="F156">
        <v>1</v>
      </c>
      <c r="G156">
        <v>25674181</v>
      </c>
      <c r="H156">
        <v>2</v>
      </c>
      <c r="I156" t="s">
        <v>301</v>
      </c>
      <c r="J156" t="s">
        <v>302</v>
      </c>
      <c r="K156" t="s">
        <v>303</v>
      </c>
      <c r="L156">
        <v>1368</v>
      </c>
      <c r="N156">
        <v>1011</v>
      </c>
      <c r="O156" t="s">
        <v>300</v>
      </c>
      <c r="P156" t="s">
        <v>300</v>
      </c>
      <c r="Q156">
        <v>1</v>
      </c>
      <c r="W156">
        <v>0</v>
      </c>
      <c r="X156">
        <v>1830593596</v>
      </c>
      <c r="Y156">
        <v>7.2</v>
      </c>
      <c r="AA156">
        <v>0</v>
      </c>
      <c r="AB156">
        <v>6.05</v>
      </c>
      <c r="AC156">
        <v>0.71</v>
      </c>
      <c r="AD156">
        <v>0</v>
      </c>
      <c r="AE156">
        <v>0</v>
      </c>
      <c r="AF156">
        <v>6.05</v>
      </c>
      <c r="AG156">
        <v>0.71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7.2</v>
      </c>
      <c r="AV156">
        <v>0</v>
      </c>
      <c r="AW156">
        <v>2</v>
      </c>
      <c r="AX156">
        <v>26616136</v>
      </c>
      <c r="AY156">
        <v>1</v>
      </c>
      <c r="AZ156">
        <v>0</v>
      </c>
      <c r="BA156">
        <v>161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Y156*Source!I152</f>
        <v>1.116</v>
      </c>
      <c r="CY156">
        <f>AB156</f>
        <v>6.05</v>
      </c>
      <c r="CZ156">
        <f>AF156</f>
        <v>6.05</v>
      </c>
      <c r="DA156">
        <f>AJ156</f>
        <v>1</v>
      </c>
      <c r="DB156">
        <v>0</v>
      </c>
    </row>
    <row r="157" spans="1:106" ht="12.75">
      <c r="A157">
        <f>ROW(Source!A152)</f>
        <v>152</v>
      </c>
      <c r="B157">
        <v>26615678</v>
      </c>
      <c r="C157">
        <v>26616122</v>
      </c>
      <c r="D157">
        <v>25687537</v>
      </c>
      <c r="E157">
        <v>1</v>
      </c>
      <c r="F157">
        <v>1</v>
      </c>
      <c r="G157">
        <v>25674181</v>
      </c>
      <c r="H157">
        <v>3</v>
      </c>
      <c r="I157" t="s">
        <v>399</v>
      </c>
      <c r="J157" t="s">
        <v>400</v>
      </c>
      <c r="K157" t="s">
        <v>401</v>
      </c>
      <c r="L157">
        <v>1346</v>
      </c>
      <c r="N157">
        <v>1013</v>
      </c>
      <c r="O157" t="s">
        <v>140</v>
      </c>
      <c r="P157" t="s">
        <v>140</v>
      </c>
      <c r="Q157">
        <v>1</v>
      </c>
      <c r="W157">
        <v>0</v>
      </c>
      <c r="X157">
        <v>-1474350505</v>
      </c>
      <c r="Y157">
        <v>10</v>
      </c>
      <c r="AA157">
        <v>27.91</v>
      </c>
      <c r="AB157">
        <v>0</v>
      </c>
      <c r="AC157">
        <v>0</v>
      </c>
      <c r="AD157">
        <v>0</v>
      </c>
      <c r="AE157">
        <v>27.91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10</v>
      </c>
      <c r="AV157">
        <v>0</v>
      </c>
      <c r="AW157">
        <v>2</v>
      </c>
      <c r="AX157">
        <v>26616137</v>
      </c>
      <c r="AY157">
        <v>1</v>
      </c>
      <c r="AZ157">
        <v>0</v>
      </c>
      <c r="BA157">
        <v>162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Y157*Source!I152</f>
        <v>1.55</v>
      </c>
      <c r="CY157">
        <f aca="true" t="shared" si="21" ref="CY157:CY162">AA157</f>
        <v>27.91</v>
      </c>
      <c r="CZ157">
        <f aca="true" t="shared" si="22" ref="CZ157:CZ162">AE157</f>
        <v>27.91</v>
      </c>
      <c r="DA157">
        <f aca="true" t="shared" si="23" ref="DA157:DA162">AI157</f>
        <v>1</v>
      </c>
      <c r="DB157">
        <v>0</v>
      </c>
    </row>
    <row r="158" spans="1:106" ht="12.75">
      <c r="A158">
        <f>ROW(Source!A152)</f>
        <v>152</v>
      </c>
      <c r="B158">
        <v>26615678</v>
      </c>
      <c r="C158">
        <v>26616122</v>
      </c>
      <c r="D158">
        <v>25687704</v>
      </c>
      <c r="E158">
        <v>1</v>
      </c>
      <c r="F158">
        <v>1</v>
      </c>
      <c r="G158">
        <v>25674181</v>
      </c>
      <c r="H158">
        <v>3</v>
      </c>
      <c r="I158" t="s">
        <v>402</v>
      </c>
      <c r="J158" t="s">
        <v>403</v>
      </c>
      <c r="K158" t="s">
        <v>404</v>
      </c>
      <c r="L158">
        <v>1339</v>
      </c>
      <c r="N158">
        <v>1007</v>
      </c>
      <c r="O158" t="s">
        <v>310</v>
      </c>
      <c r="P158" t="s">
        <v>310</v>
      </c>
      <c r="Q158">
        <v>1</v>
      </c>
      <c r="W158">
        <v>0</v>
      </c>
      <c r="X158">
        <v>-156220903</v>
      </c>
      <c r="Y158">
        <v>0.0088</v>
      </c>
      <c r="AA158">
        <v>28.77</v>
      </c>
      <c r="AB158">
        <v>0</v>
      </c>
      <c r="AC158">
        <v>0</v>
      </c>
      <c r="AD158">
        <v>0</v>
      </c>
      <c r="AE158">
        <v>28.77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0.0088</v>
      </c>
      <c r="AV158">
        <v>0</v>
      </c>
      <c r="AW158">
        <v>2</v>
      </c>
      <c r="AX158">
        <v>26616138</v>
      </c>
      <c r="AY158">
        <v>1</v>
      </c>
      <c r="AZ158">
        <v>0</v>
      </c>
      <c r="BA158">
        <v>163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Y158*Source!I152</f>
        <v>0.001364</v>
      </c>
      <c r="CY158">
        <f t="shared" si="21"/>
        <v>28.77</v>
      </c>
      <c r="CZ158">
        <f t="shared" si="22"/>
        <v>28.77</v>
      </c>
      <c r="DA158">
        <f t="shared" si="23"/>
        <v>1</v>
      </c>
      <c r="DB158">
        <v>0</v>
      </c>
    </row>
    <row r="159" spans="1:106" ht="12.75">
      <c r="A159">
        <f>ROW(Source!A152)</f>
        <v>152</v>
      </c>
      <c r="B159">
        <v>26615678</v>
      </c>
      <c r="C159">
        <v>26616122</v>
      </c>
      <c r="D159">
        <v>25687925</v>
      </c>
      <c r="E159">
        <v>1</v>
      </c>
      <c r="F159">
        <v>1</v>
      </c>
      <c r="G159">
        <v>25674181</v>
      </c>
      <c r="H159">
        <v>3</v>
      </c>
      <c r="I159" t="s">
        <v>405</v>
      </c>
      <c r="J159" t="s">
        <v>406</v>
      </c>
      <c r="K159" t="s">
        <v>407</v>
      </c>
      <c r="L159">
        <v>1327</v>
      </c>
      <c r="N159">
        <v>1013</v>
      </c>
      <c r="O159" t="s">
        <v>85</v>
      </c>
      <c r="P159" t="s">
        <v>85</v>
      </c>
      <c r="Q159">
        <v>1</v>
      </c>
      <c r="W159">
        <v>0</v>
      </c>
      <c r="X159">
        <v>1535195253</v>
      </c>
      <c r="Y159">
        <v>240</v>
      </c>
      <c r="AA159">
        <v>12.61</v>
      </c>
      <c r="AB159">
        <v>0</v>
      </c>
      <c r="AC159">
        <v>0</v>
      </c>
      <c r="AD159">
        <v>0</v>
      </c>
      <c r="AE159">
        <v>12.61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240</v>
      </c>
      <c r="AV159">
        <v>0</v>
      </c>
      <c r="AW159">
        <v>2</v>
      </c>
      <c r="AX159">
        <v>26616139</v>
      </c>
      <c r="AY159">
        <v>1</v>
      </c>
      <c r="AZ159">
        <v>0</v>
      </c>
      <c r="BA159">
        <v>164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Y159*Source!I152</f>
        <v>37.2</v>
      </c>
      <c r="CY159">
        <f t="shared" si="21"/>
        <v>12.61</v>
      </c>
      <c r="CZ159">
        <f t="shared" si="22"/>
        <v>12.61</v>
      </c>
      <c r="DA159">
        <f t="shared" si="23"/>
        <v>1</v>
      </c>
      <c r="DB159">
        <v>0</v>
      </c>
    </row>
    <row r="160" spans="1:106" ht="12.75">
      <c r="A160">
        <f>ROW(Source!A152)</f>
        <v>152</v>
      </c>
      <c r="B160">
        <v>26615678</v>
      </c>
      <c r="C160">
        <v>26616122</v>
      </c>
      <c r="D160">
        <v>25688037</v>
      </c>
      <c r="E160">
        <v>1</v>
      </c>
      <c r="F160">
        <v>1</v>
      </c>
      <c r="G160">
        <v>25674181</v>
      </c>
      <c r="H160">
        <v>3</v>
      </c>
      <c r="I160" t="s">
        <v>408</v>
      </c>
      <c r="J160" t="s">
        <v>409</v>
      </c>
      <c r="K160" t="s">
        <v>410</v>
      </c>
      <c r="L160">
        <v>1327</v>
      </c>
      <c r="N160">
        <v>1013</v>
      </c>
      <c r="O160" t="s">
        <v>85</v>
      </c>
      <c r="P160" t="s">
        <v>85</v>
      </c>
      <c r="Q160">
        <v>1</v>
      </c>
      <c r="W160">
        <v>0</v>
      </c>
      <c r="X160">
        <v>-809492133</v>
      </c>
      <c r="Y160">
        <v>110</v>
      </c>
      <c r="AA160">
        <v>162.23</v>
      </c>
      <c r="AB160">
        <v>0</v>
      </c>
      <c r="AC160">
        <v>0</v>
      </c>
      <c r="AD160">
        <v>0</v>
      </c>
      <c r="AE160">
        <v>162.23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110</v>
      </c>
      <c r="AV160">
        <v>0</v>
      </c>
      <c r="AW160">
        <v>2</v>
      </c>
      <c r="AX160">
        <v>26616140</v>
      </c>
      <c r="AY160">
        <v>1</v>
      </c>
      <c r="AZ160">
        <v>0</v>
      </c>
      <c r="BA160">
        <v>165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Y160*Source!I152</f>
        <v>17.05</v>
      </c>
      <c r="CY160">
        <f t="shared" si="21"/>
        <v>162.23</v>
      </c>
      <c r="CZ160">
        <f t="shared" si="22"/>
        <v>162.23</v>
      </c>
      <c r="DA160">
        <f t="shared" si="23"/>
        <v>1</v>
      </c>
      <c r="DB160">
        <v>0</v>
      </c>
    </row>
    <row r="161" spans="1:106" ht="12.75">
      <c r="A161">
        <f>ROW(Source!A152)</f>
        <v>152</v>
      </c>
      <c r="B161">
        <v>26615678</v>
      </c>
      <c r="C161">
        <v>26616122</v>
      </c>
      <c r="D161">
        <v>25688118</v>
      </c>
      <c r="E161">
        <v>1</v>
      </c>
      <c r="F161">
        <v>1</v>
      </c>
      <c r="G161">
        <v>25674181</v>
      </c>
      <c r="H161">
        <v>3</v>
      </c>
      <c r="I161" t="s">
        <v>411</v>
      </c>
      <c r="J161" t="s">
        <v>412</v>
      </c>
      <c r="K161" t="s">
        <v>413</v>
      </c>
      <c r="L161">
        <v>1348</v>
      </c>
      <c r="N161">
        <v>1013</v>
      </c>
      <c r="O161" t="s">
        <v>67</v>
      </c>
      <c r="P161" t="s">
        <v>67</v>
      </c>
      <c r="Q161">
        <v>1</v>
      </c>
      <c r="W161">
        <v>0</v>
      </c>
      <c r="X161">
        <v>-410359434</v>
      </c>
      <c r="Y161">
        <v>0.54</v>
      </c>
      <c r="AA161">
        <v>98147.75</v>
      </c>
      <c r="AB161">
        <v>0</v>
      </c>
      <c r="AC161">
        <v>0</v>
      </c>
      <c r="AD161">
        <v>0</v>
      </c>
      <c r="AE161">
        <v>98147.75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0.54</v>
      </c>
      <c r="AV161">
        <v>0</v>
      </c>
      <c r="AW161">
        <v>2</v>
      </c>
      <c r="AX161">
        <v>26616141</v>
      </c>
      <c r="AY161">
        <v>1</v>
      </c>
      <c r="AZ161">
        <v>0</v>
      </c>
      <c r="BA161">
        <v>166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Y161*Source!I152</f>
        <v>0.08370000000000001</v>
      </c>
      <c r="CY161">
        <f t="shared" si="21"/>
        <v>98147.75</v>
      </c>
      <c r="CZ161">
        <f t="shared" si="22"/>
        <v>98147.75</v>
      </c>
      <c r="DA161">
        <f t="shared" si="23"/>
        <v>1</v>
      </c>
      <c r="DB161">
        <v>0</v>
      </c>
    </row>
    <row r="162" spans="1:106" ht="12.75">
      <c r="A162">
        <f>ROW(Source!A152)</f>
        <v>152</v>
      </c>
      <c r="B162">
        <v>26615678</v>
      </c>
      <c r="C162">
        <v>26616122</v>
      </c>
      <c r="D162">
        <v>25686268</v>
      </c>
      <c r="E162">
        <v>1</v>
      </c>
      <c r="F162">
        <v>1</v>
      </c>
      <c r="G162">
        <v>25674181</v>
      </c>
      <c r="H162">
        <v>3</v>
      </c>
      <c r="I162" t="s">
        <v>414</v>
      </c>
      <c r="J162" t="s">
        <v>415</v>
      </c>
      <c r="K162" t="s">
        <v>416</v>
      </c>
      <c r="L162">
        <v>1348</v>
      </c>
      <c r="N162">
        <v>1013</v>
      </c>
      <c r="O162" t="s">
        <v>67</v>
      </c>
      <c r="P162" t="s">
        <v>67</v>
      </c>
      <c r="Q162">
        <v>1</v>
      </c>
      <c r="W162">
        <v>0</v>
      </c>
      <c r="X162">
        <v>146020807</v>
      </c>
      <c r="Y162">
        <v>0.013</v>
      </c>
      <c r="AA162">
        <v>69344.71</v>
      </c>
      <c r="AB162">
        <v>0</v>
      </c>
      <c r="AC162">
        <v>0</v>
      </c>
      <c r="AD162">
        <v>0</v>
      </c>
      <c r="AE162">
        <v>69344.71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0.013</v>
      </c>
      <c r="AV162">
        <v>0</v>
      </c>
      <c r="AW162">
        <v>2</v>
      </c>
      <c r="AX162">
        <v>26616142</v>
      </c>
      <c r="AY162">
        <v>1</v>
      </c>
      <c r="AZ162">
        <v>0</v>
      </c>
      <c r="BA162">
        <v>167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Y162*Source!I152</f>
        <v>0.002015</v>
      </c>
      <c r="CY162">
        <f t="shared" si="21"/>
        <v>69344.71</v>
      </c>
      <c r="CZ162">
        <f t="shared" si="22"/>
        <v>69344.71</v>
      </c>
      <c r="DA162">
        <f t="shared" si="23"/>
        <v>1</v>
      </c>
      <c r="DB162">
        <v>0</v>
      </c>
    </row>
    <row r="163" spans="1:106" ht="12.75">
      <c r="A163">
        <f>ROW(Source!A153)</f>
        <v>153</v>
      </c>
      <c r="B163">
        <v>26615678</v>
      </c>
      <c r="C163">
        <v>26616143</v>
      </c>
      <c r="D163">
        <v>25674184</v>
      </c>
      <c r="E163">
        <v>25674181</v>
      </c>
      <c r="F163">
        <v>1</v>
      </c>
      <c r="G163">
        <v>25674181</v>
      </c>
      <c r="H163">
        <v>1</v>
      </c>
      <c r="I163" t="s">
        <v>291</v>
      </c>
      <c r="K163" t="s">
        <v>292</v>
      </c>
      <c r="L163">
        <v>1191</v>
      </c>
      <c r="N163">
        <v>1013</v>
      </c>
      <c r="O163" t="s">
        <v>293</v>
      </c>
      <c r="P163" t="s">
        <v>293</v>
      </c>
      <c r="Q163">
        <v>1</v>
      </c>
      <c r="W163">
        <v>0</v>
      </c>
      <c r="X163">
        <v>476480486</v>
      </c>
      <c r="Y163">
        <v>20.73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20.73</v>
      </c>
      <c r="AV163">
        <v>1</v>
      </c>
      <c r="AW163">
        <v>2</v>
      </c>
      <c r="AX163">
        <v>26616147</v>
      </c>
      <c r="AY163">
        <v>1</v>
      </c>
      <c r="AZ163">
        <v>0</v>
      </c>
      <c r="BA163">
        <v>168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Y163*Source!I153</f>
        <v>63.226499999999994</v>
      </c>
      <c r="CY163">
        <f>AD163</f>
        <v>0</v>
      </c>
      <c r="CZ163">
        <f>AH163</f>
        <v>0</v>
      </c>
      <c r="DA163">
        <f>AL163</f>
        <v>1</v>
      </c>
      <c r="DB163">
        <v>0</v>
      </c>
    </row>
    <row r="164" spans="1:106" ht="12.75">
      <c r="A164">
        <f>ROW(Source!A153)</f>
        <v>153</v>
      </c>
      <c r="B164">
        <v>26615678</v>
      </c>
      <c r="C164">
        <v>26616143</v>
      </c>
      <c r="D164">
        <v>25685976</v>
      </c>
      <c r="E164">
        <v>1</v>
      </c>
      <c r="F164">
        <v>1</v>
      </c>
      <c r="G164">
        <v>25674181</v>
      </c>
      <c r="H164">
        <v>3</v>
      </c>
      <c r="I164" t="s">
        <v>387</v>
      </c>
      <c r="J164" t="s">
        <v>388</v>
      </c>
      <c r="K164" t="s">
        <v>389</v>
      </c>
      <c r="L164">
        <v>1348</v>
      </c>
      <c r="N164">
        <v>1013</v>
      </c>
      <c r="O164" t="s">
        <v>67</v>
      </c>
      <c r="P164" t="s">
        <v>67</v>
      </c>
      <c r="Q164">
        <v>1</v>
      </c>
      <c r="W164">
        <v>0</v>
      </c>
      <c r="X164">
        <v>-417247790</v>
      </c>
      <c r="Y164">
        <v>0.17</v>
      </c>
      <c r="AA164">
        <v>3589.54</v>
      </c>
      <c r="AB164">
        <v>0</v>
      </c>
      <c r="AC164">
        <v>0</v>
      </c>
      <c r="AD164">
        <v>0</v>
      </c>
      <c r="AE164">
        <v>3589.54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0.17</v>
      </c>
      <c r="AV164">
        <v>0</v>
      </c>
      <c r="AW164">
        <v>2</v>
      </c>
      <c r="AX164">
        <v>26616148</v>
      </c>
      <c r="AY164">
        <v>1</v>
      </c>
      <c r="AZ164">
        <v>0</v>
      </c>
      <c r="BA164">
        <v>169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Y164*Source!I153</f>
        <v>0.5185</v>
      </c>
      <c r="CY164">
        <f>AA164</f>
        <v>3589.54</v>
      </c>
      <c r="CZ164">
        <f>AE164</f>
        <v>3589.54</v>
      </c>
      <c r="DA164">
        <f>AI164</f>
        <v>1</v>
      </c>
      <c r="DB164">
        <v>0</v>
      </c>
    </row>
    <row r="165" spans="1:106" ht="12.75">
      <c r="A165">
        <f>ROW(Source!A153)</f>
        <v>153</v>
      </c>
      <c r="B165">
        <v>26615678</v>
      </c>
      <c r="C165">
        <v>26616143</v>
      </c>
      <c r="D165">
        <v>25688503</v>
      </c>
      <c r="E165">
        <v>1</v>
      </c>
      <c r="F165">
        <v>1</v>
      </c>
      <c r="G165">
        <v>25674181</v>
      </c>
      <c r="H165">
        <v>3</v>
      </c>
      <c r="I165" t="s">
        <v>329</v>
      </c>
      <c r="J165" t="s">
        <v>330</v>
      </c>
      <c r="K165" t="s">
        <v>331</v>
      </c>
      <c r="L165">
        <v>1339</v>
      </c>
      <c r="N165">
        <v>1007</v>
      </c>
      <c r="O165" t="s">
        <v>310</v>
      </c>
      <c r="P165" t="s">
        <v>310</v>
      </c>
      <c r="Q165">
        <v>1</v>
      </c>
      <c r="W165">
        <v>0</v>
      </c>
      <c r="X165">
        <v>-1623564269</v>
      </c>
      <c r="Y165">
        <v>0.03</v>
      </c>
      <c r="AA165">
        <v>2593.7</v>
      </c>
      <c r="AB165">
        <v>0</v>
      </c>
      <c r="AC165">
        <v>0</v>
      </c>
      <c r="AD165">
        <v>0</v>
      </c>
      <c r="AE165">
        <v>2593.7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0.03</v>
      </c>
      <c r="AV165">
        <v>0</v>
      </c>
      <c r="AW165">
        <v>2</v>
      </c>
      <c r="AX165">
        <v>26616149</v>
      </c>
      <c r="AY165">
        <v>1</v>
      </c>
      <c r="AZ165">
        <v>0</v>
      </c>
      <c r="BA165">
        <v>170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Y165*Source!I153</f>
        <v>0.0915</v>
      </c>
      <c r="CY165">
        <f>AA165</f>
        <v>2593.7</v>
      </c>
      <c r="CZ165">
        <f>AE165</f>
        <v>2593.7</v>
      </c>
      <c r="DA165">
        <f>AI165</f>
        <v>1</v>
      </c>
      <c r="DB16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7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26616369</v>
      </c>
      <c r="C1">
        <v>26616368</v>
      </c>
      <c r="D1">
        <v>25674184</v>
      </c>
      <c r="E1">
        <v>25674181</v>
      </c>
      <c r="F1">
        <v>1</v>
      </c>
      <c r="G1">
        <v>25674181</v>
      </c>
      <c r="H1">
        <v>1</v>
      </c>
      <c r="I1" t="s">
        <v>291</v>
      </c>
      <c r="K1" t="s">
        <v>292</v>
      </c>
      <c r="L1">
        <v>1191</v>
      </c>
      <c r="N1">
        <v>1013</v>
      </c>
      <c r="O1" t="s">
        <v>293</v>
      </c>
      <c r="P1" t="s">
        <v>293</v>
      </c>
      <c r="Q1">
        <v>1</v>
      </c>
      <c r="X1">
        <v>6.28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6.28</v>
      </c>
      <c r="AH1">
        <v>2</v>
      </c>
      <c r="AI1">
        <v>26616369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26616370</v>
      </c>
      <c r="C2">
        <v>26616368</v>
      </c>
      <c r="D2">
        <v>25675209</v>
      </c>
      <c r="E2">
        <v>25674181</v>
      </c>
      <c r="F2">
        <v>1</v>
      </c>
      <c r="G2">
        <v>25674181</v>
      </c>
      <c r="H2">
        <v>3</v>
      </c>
      <c r="I2" t="s">
        <v>294</v>
      </c>
      <c r="K2" t="s">
        <v>295</v>
      </c>
      <c r="L2">
        <v>1301</v>
      </c>
      <c r="N2">
        <v>1013</v>
      </c>
      <c r="O2" t="s">
        <v>296</v>
      </c>
      <c r="P2" t="s">
        <v>296</v>
      </c>
      <c r="Q2">
        <v>1</v>
      </c>
      <c r="X2">
        <v>9.3</v>
      </c>
      <c r="Y2">
        <v>6.785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G2">
        <v>9.3</v>
      </c>
      <c r="AH2">
        <v>2</v>
      </c>
      <c r="AI2">
        <v>26616370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26616371</v>
      </c>
      <c r="C3">
        <v>26616368</v>
      </c>
      <c r="D3">
        <v>25675205</v>
      </c>
      <c r="E3">
        <v>25674181</v>
      </c>
      <c r="F3">
        <v>1</v>
      </c>
      <c r="G3">
        <v>25674181</v>
      </c>
      <c r="H3">
        <v>3</v>
      </c>
      <c r="I3" t="s">
        <v>417</v>
      </c>
      <c r="K3" t="s">
        <v>418</v>
      </c>
      <c r="L3">
        <v>1354</v>
      </c>
      <c r="N3">
        <v>1013</v>
      </c>
      <c r="O3" t="s">
        <v>17</v>
      </c>
      <c r="P3" t="s">
        <v>17</v>
      </c>
      <c r="Q3">
        <v>1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G3">
        <v>1</v>
      </c>
      <c r="AH3">
        <v>3</v>
      </c>
      <c r="AI3">
        <v>-1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ROW(Source!A30)</f>
        <v>30</v>
      </c>
      <c r="B4">
        <v>26616377</v>
      </c>
      <c r="C4">
        <v>26615879</v>
      </c>
      <c r="D4">
        <v>25674184</v>
      </c>
      <c r="E4">
        <v>25674181</v>
      </c>
      <c r="F4">
        <v>1</v>
      </c>
      <c r="G4">
        <v>25674181</v>
      </c>
      <c r="H4">
        <v>1</v>
      </c>
      <c r="I4" t="s">
        <v>291</v>
      </c>
      <c r="K4" t="s">
        <v>292</v>
      </c>
      <c r="L4">
        <v>1191</v>
      </c>
      <c r="N4">
        <v>1013</v>
      </c>
      <c r="O4" t="s">
        <v>293</v>
      </c>
      <c r="P4" t="s">
        <v>293</v>
      </c>
      <c r="Q4">
        <v>1</v>
      </c>
      <c r="X4">
        <v>1.23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G4">
        <v>1.23</v>
      </c>
      <c r="AH4">
        <v>2</v>
      </c>
      <c r="AI4">
        <v>26616377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26616378</v>
      </c>
      <c r="C5">
        <v>26615879</v>
      </c>
      <c r="D5">
        <v>25685390</v>
      </c>
      <c r="E5">
        <v>1</v>
      </c>
      <c r="F5">
        <v>1</v>
      </c>
      <c r="G5">
        <v>25674181</v>
      </c>
      <c r="H5">
        <v>2</v>
      </c>
      <c r="I5" t="s">
        <v>297</v>
      </c>
      <c r="J5" t="s">
        <v>298</v>
      </c>
      <c r="K5" t="s">
        <v>299</v>
      </c>
      <c r="L5">
        <v>1368</v>
      </c>
      <c r="N5">
        <v>1011</v>
      </c>
      <c r="O5" t="s">
        <v>300</v>
      </c>
      <c r="P5" t="s">
        <v>300</v>
      </c>
      <c r="Q5">
        <v>1</v>
      </c>
      <c r="X5">
        <v>0.12</v>
      </c>
      <c r="Y5">
        <v>0</v>
      </c>
      <c r="Z5">
        <v>32.82</v>
      </c>
      <c r="AA5">
        <v>6.85</v>
      </c>
      <c r="AB5">
        <v>0</v>
      </c>
      <c r="AC5">
        <v>0</v>
      </c>
      <c r="AD5">
        <v>1</v>
      </c>
      <c r="AE5">
        <v>0</v>
      </c>
      <c r="AG5">
        <v>0.12</v>
      </c>
      <c r="AH5">
        <v>2</v>
      </c>
      <c r="AI5">
        <v>26616378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26616379</v>
      </c>
      <c r="C6">
        <v>26615879</v>
      </c>
      <c r="D6">
        <v>25685102</v>
      </c>
      <c r="E6">
        <v>1</v>
      </c>
      <c r="F6">
        <v>1</v>
      </c>
      <c r="G6">
        <v>25674181</v>
      </c>
      <c r="H6">
        <v>2</v>
      </c>
      <c r="I6" t="s">
        <v>301</v>
      </c>
      <c r="J6" t="s">
        <v>302</v>
      </c>
      <c r="K6" t="s">
        <v>303</v>
      </c>
      <c r="L6">
        <v>1368</v>
      </c>
      <c r="N6">
        <v>1011</v>
      </c>
      <c r="O6" t="s">
        <v>300</v>
      </c>
      <c r="P6" t="s">
        <v>300</v>
      </c>
      <c r="Q6">
        <v>1</v>
      </c>
      <c r="X6">
        <v>0.34</v>
      </c>
      <c r="Y6">
        <v>0</v>
      </c>
      <c r="Z6">
        <v>6.05</v>
      </c>
      <c r="AA6">
        <v>0.71</v>
      </c>
      <c r="AB6">
        <v>0</v>
      </c>
      <c r="AC6">
        <v>0</v>
      </c>
      <c r="AD6">
        <v>1</v>
      </c>
      <c r="AE6">
        <v>0</v>
      </c>
      <c r="AG6">
        <v>0.34</v>
      </c>
      <c r="AH6">
        <v>2</v>
      </c>
      <c r="AI6">
        <v>26616379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26616380</v>
      </c>
      <c r="C7">
        <v>26615879</v>
      </c>
      <c r="D7">
        <v>25687630</v>
      </c>
      <c r="E7">
        <v>1</v>
      </c>
      <c r="F7">
        <v>1</v>
      </c>
      <c r="G7">
        <v>25674181</v>
      </c>
      <c r="H7">
        <v>3</v>
      </c>
      <c r="I7" t="s">
        <v>304</v>
      </c>
      <c r="J7" t="s">
        <v>305</v>
      </c>
      <c r="K7" t="s">
        <v>306</v>
      </c>
      <c r="L7">
        <v>1348</v>
      </c>
      <c r="N7">
        <v>1013</v>
      </c>
      <c r="O7" t="s">
        <v>67</v>
      </c>
      <c r="P7" t="s">
        <v>67</v>
      </c>
      <c r="Q7">
        <v>1</v>
      </c>
      <c r="X7">
        <v>0.00011</v>
      </c>
      <c r="Y7">
        <v>109898.69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0.00011</v>
      </c>
      <c r="AH7">
        <v>2</v>
      </c>
      <c r="AI7">
        <v>26616380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ROW(Source!A30)</f>
        <v>30</v>
      </c>
      <c r="B8">
        <v>26616381</v>
      </c>
      <c r="C8">
        <v>26615879</v>
      </c>
      <c r="D8">
        <v>25688502</v>
      </c>
      <c r="E8">
        <v>1</v>
      </c>
      <c r="F8">
        <v>1</v>
      </c>
      <c r="G8">
        <v>25674181</v>
      </c>
      <c r="H8">
        <v>3</v>
      </c>
      <c r="I8" t="s">
        <v>307</v>
      </c>
      <c r="J8" t="s">
        <v>308</v>
      </c>
      <c r="K8" t="s">
        <v>309</v>
      </c>
      <c r="L8">
        <v>1339</v>
      </c>
      <c r="N8">
        <v>1007</v>
      </c>
      <c r="O8" t="s">
        <v>310</v>
      </c>
      <c r="P8" t="s">
        <v>310</v>
      </c>
      <c r="Q8">
        <v>1</v>
      </c>
      <c r="X8">
        <v>0.0003</v>
      </c>
      <c r="Y8">
        <v>2834.05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0.0003</v>
      </c>
      <c r="AH8">
        <v>2</v>
      </c>
      <c r="AI8">
        <v>26616381</v>
      </c>
      <c r="AJ8">
        <v>14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ROW(Source!A30)</f>
        <v>30</v>
      </c>
      <c r="B9">
        <v>26616382</v>
      </c>
      <c r="C9">
        <v>26615879</v>
      </c>
      <c r="D9">
        <v>25688810</v>
      </c>
      <c r="E9">
        <v>1</v>
      </c>
      <c r="F9">
        <v>1</v>
      </c>
      <c r="G9">
        <v>25674181</v>
      </c>
      <c r="H9">
        <v>3</v>
      </c>
      <c r="I9" t="s">
        <v>311</v>
      </c>
      <c r="J9" t="s">
        <v>312</v>
      </c>
      <c r="K9" t="s">
        <v>313</v>
      </c>
      <c r="L9">
        <v>1348</v>
      </c>
      <c r="N9">
        <v>1013</v>
      </c>
      <c r="O9" t="s">
        <v>67</v>
      </c>
      <c r="P9" t="s">
        <v>67</v>
      </c>
      <c r="Q9">
        <v>1</v>
      </c>
      <c r="X9">
        <v>0.00043</v>
      </c>
      <c r="Y9">
        <v>29334.55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0.00043</v>
      </c>
      <c r="AH9">
        <v>2</v>
      </c>
      <c r="AI9">
        <v>26616382</v>
      </c>
      <c r="AJ9">
        <v>15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ROW(Source!A30)</f>
        <v>30</v>
      </c>
      <c r="B10">
        <v>26616383</v>
      </c>
      <c r="C10">
        <v>26615879</v>
      </c>
      <c r="D10">
        <v>25675215</v>
      </c>
      <c r="E10">
        <v>25674181</v>
      </c>
      <c r="F10">
        <v>1</v>
      </c>
      <c r="G10">
        <v>25674181</v>
      </c>
      <c r="H10">
        <v>3</v>
      </c>
      <c r="I10" t="s">
        <v>419</v>
      </c>
      <c r="K10" t="s">
        <v>420</v>
      </c>
      <c r="L10">
        <v>1354</v>
      </c>
      <c r="N10">
        <v>1013</v>
      </c>
      <c r="O10" t="s">
        <v>17</v>
      </c>
      <c r="P10" t="s">
        <v>17</v>
      </c>
      <c r="Q10">
        <v>1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v>1</v>
      </c>
      <c r="AH10">
        <v>3</v>
      </c>
      <c r="AI10">
        <v>-1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ROW(Source!A37)</f>
        <v>37</v>
      </c>
      <c r="B11">
        <v>26615906</v>
      </c>
      <c r="C11">
        <v>26615895</v>
      </c>
      <c r="D11">
        <v>25674184</v>
      </c>
      <c r="E11">
        <v>25674181</v>
      </c>
      <c r="F11">
        <v>1</v>
      </c>
      <c r="G11">
        <v>25674181</v>
      </c>
      <c r="H11">
        <v>1</v>
      </c>
      <c r="I11" t="s">
        <v>291</v>
      </c>
      <c r="K11" t="s">
        <v>292</v>
      </c>
      <c r="L11">
        <v>1191</v>
      </c>
      <c r="N11">
        <v>1013</v>
      </c>
      <c r="O11" t="s">
        <v>293</v>
      </c>
      <c r="P11" t="s">
        <v>293</v>
      </c>
      <c r="Q11">
        <v>1</v>
      </c>
      <c r="X11">
        <v>14.95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1</v>
      </c>
      <c r="AG11">
        <v>14.95</v>
      </c>
      <c r="AH11">
        <v>2</v>
      </c>
      <c r="AI11">
        <v>26615897</v>
      </c>
      <c r="AJ11">
        <v>16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ROW(Source!A37)</f>
        <v>37</v>
      </c>
      <c r="B12">
        <v>26615907</v>
      </c>
      <c r="C12">
        <v>26615895</v>
      </c>
      <c r="D12">
        <v>25685390</v>
      </c>
      <c r="E12">
        <v>1</v>
      </c>
      <c r="F12">
        <v>1</v>
      </c>
      <c r="G12">
        <v>25674181</v>
      </c>
      <c r="H12">
        <v>2</v>
      </c>
      <c r="I12" t="s">
        <v>297</v>
      </c>
      <c r="J12" t="s">
        <v>298</v>
      </c>
      <c r="K12" t="s">
        <v>299</v>
      </c>
      <c r="L12">
        <v>1368</v>
      </c>
      <c r="N12">
        <v>1011</v>
      </c>
      <c r="O12" t="s">
        <v>300</v>
      </c>
      <c r="P12" t="s">
        <v>300</v>
      </c>
      <c r="Q12">
        <v>1</v>
      </c>
      <c r="X12">
        <v>0.56</v>
      </c>
      <c r="Y12">
        <v>0</v>
      </c>
      <c r="Z12">
        <v>32.82</v>
      </c>
      <c r="AA12">
        <v>6.85</v>
      </c>
      <c r="AB12">
        <v>0</v>
      </c>
      <c r="AC12">
        <v>0</v>
      </c>
      <c r="AD12">
        <v>1</v>
      </c>
      <c r="AE12">
        <v>0</v>
      </c>
      <c r="AG12">
        <v>0.56</v>
      </c>
      <c r="AH12">
        <v>2</v>
      </c>
      <c r="AI12">
        <v>26615898</v>
      </c>
      <c r="AJ12">
        <v>17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ROW(Source!A37)</f>
        <v>37</v>
      </c>
      <c r="B13">
        <v>26615908</v>
      </c>
      <c r="C13">
        <v>26615895</v>
      </c>
      <c r="D13">
        <v>25686794</v>
      </c>
      <c r="E13">
        <v>1</v>
      </c>
      <c r="F13">
        <v>1</v>
      </c>
      <c r="G13">
        <v>25674181</v>
      </c>
      <c r="H13">
        <v>3</v>
      </c>
      <c r="I13" t="s">
        <v>314</v>
      </c>
      <c r="J13" t="s">
        <v>315</v>
      </c>
      <c r="K13" t="s">
        <v>316</v>
      </c>
      <c r="L13">
        <v>1348</v>
      </c>
      <c r="N13">
        <v>1013</v>
      </c>
      <c r="O13" t="s">
        <v>67</v>
      </c>
      <c r="P13" t="s">
        <v>67</v>
      </c>
      <c r="Q13">
        <v>1</v>
      </c>
      <c r="X13">
        <v>0.00127</v>
      </c>
      <c r="Y13">
        <v>85160.23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0.00127</v>
      </c>
      <c r="AH13">
        <v>2</v>
      </c>
      <c r="AI13">
        <v>26615899</v>
      </c>
      <c r="AJ13">
        <v>18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ROW(Source!A37)</f>
        <v>37</v>
      </c>
      <c r="B14">
        <v>26615909</v>
      </c>
      <c r="C14">
        <v>26615895</v>
      </c>
      <c r="D14">
        <v>25687629</v>
      </c>
      <c r="E14">
        <v>1</v>
      </c>
      <c r="F14">
        <v>1</v>
      </c>
      <c r="G14">
        <v>25674181</v>
      </c>
      <c r="H14">
        <v>3</v>
      </c>
      <c r="I14" t="s">
        <v>317</v>
      </c>
      <c r="J14" t="s">
        <v>318</v>
      </c>
      <c r="K14" t="s">
        <v>319</v>
      </c>
      <c r="L14">
        <v>1348</v>
      </c>
      <c r="N14">
        <v>1013</v>
      </c>
      <c r="O14" t="s">
        <v>67</v>
      </c>
      <c r="P14" t="s">
        <v>67</v>
      </c>
      <c r="Q14">
        <v>1</v>
      </c>
      <c r="X14">
        <v>0.00039</v>
      </c>
      <c r="Y14">
        <v>117957.19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0.00039</v>
      </c>
      <c r="AH14">
        <v>2</v>
      </c>
      <c r="AI14">
        <v>26615900</v>
      </c>
      <c r="AJ14">
        <v>19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ROW(Source!A37)</f>
        <v>37</v>
      </c>
      <c r="B15">
        <v>26615910</v>
      </c>
      <c r="C15">
        <v>26615895</v>
      </c>
      <c r="D15">
        <v>25687974</v>
      </c>
      <c r="E15">
        <v>1</v>
      </c>
      <c r="F15">
        <v>1</v>
      </c>
      <c r="G15">
        <v>25674181</v>
      </c>
      <c r="H15">
        <v>3</v>
      </c>
      <c r="I15" t="s">
        <v>320</v>
      </c>
      <c r="J15" t="s">
        <v>321</v>
      </c>
      <c r="K15" t="s">
        <v>322</v>
      </c>
      <c r="L15">
        <v>1348</v>
      </c>
      <c r="N15">
        <v>1013</v>
      </c>
      <c r="O15" t="s">
        <v>67</v>
      </c>
      <c r="P15" t="s">
        <v>67</v>
      </c>
      <c r="Q15">
        <v>1</v>
      </c>
      <c r="X15">
        <v>7E-05</v>
      </c>
      <c r="Y15">
        <v>142669.85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7E-05</v>
      </c>
      <c r="AH15">
        <v>2</v>
      </c>
      <c r="AI15">
        <v>26615901</v>
      </c>
      <c r="AJ15">
        <v>20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ROW(Source!A37)</f>
        <v>37</v>
      </c>
      <c r="B16">
        <v>26615911</v>
      </c>
      <c r="C16">
        <v>26615895</v>
      </c>
      <c r="D16">
        <v>25691708</v>
      </c>
      <c r="E16">
        <v>1</v>
      </c>
      <c r="F16">
        <v>1</v>
      </c>
      <c r="G16">
        <v>25674181</v>
      </c>
      <c r="H16">
        <v>3</v>
      </c>
      <c r="I16" t="s">
        <v>323</v>
      </c>
      <c r="J16" t="s">
        <v>324</v>
      </c>
      <c r="K16" t="s">
        <v>325</v>
      </c>
      <c r="L16">
        <v>1354</v>
      </c>
      <c r="N16">
        <v>1013</v>
      </c>
      <c r="O16" t="s">
        <v>17</v>
      </c>
      <c r="P16" t="s">
        <v>17</v>
      </c>
      <c r="Q16">
        <v>1</v>
      </c>
      <c r="X16">
        <v>1</v>
      </c>
      <c r="Y16">
        <v>131.99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1</v>
      </c>
      <c r="AH16">
        <v>2</v>
      </c>
      <c r="AI16">
        <v>26615902</v>
      </c>
      <c r="AJ16">
        <v>21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ROW(Source!A37)</f>
        <v>37</v>
      </c>
      <c r="B17">
        <v>26615912</v>
      </c>
      <c r="C17">
        <v>26615895</v>
      </c>
      <c r="D17">
        <v>25691707</v>
      </c>
      <c r="E17">
        <v>1</v>
      </c>
      <c r="F17">
        <v>1</v>
      </c>
      <c r="G17">
        <v>25674181</v>
      </c>
      <c r="H17">
        <v>3</v>
      </c>
      <c r="I17" t="s">
        <v>326</v>
      </c>
      <c r="J17" t="s">
        <v>327</v>
      </c>
      <c r="K17" t="s">
        <v>328</v>
      </c>
      <c r="L17">
        <v>1354</v>
      </c>
      <c r="N17">
        <v>1013</v>
      </c>
      <c r="O17" t="s">
        <v>17</v>
      </c>
      <c r="P17" t="s">
        <v>17</v>
      </c>
      <c r="Q17">
        <v>1</v>
      </c>
      <c r="X17">
        <v>1</v>
      </c>
      <c r="Y17">
        <v>152.4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</v>
      </c>
      <c r="AH17">
        <v>2</v>
      </c>
      <c r="AI17">
        <v>26615903</v>
      </c>
      <c r="AJ17">
        <v>22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ROW(Source!A37)</f>
        <v>37</v>
      </c>
      <c r="B18">
        <v>26615913</v>
      </c>
      <c r="C18">
        <v>26615895</v>
      </c>
      <c r="D18">
        <v>25688503</v>
      </c>
      <c r="E18">
        <v>1</v>
      </c>
      <c r="F18">
        <v>1</v>
      </c>
      <c r="G18">
        <v>25674181</v>
      </c>
      <c r="H18">
        <v>3</v>
      </c>
      <c r="I18" t="s">
        <v>329</v>
      </c>
      <c r="J18" t="s">
        <v>330</v>
      </c>
      <c r="K18" t="s">
        <v>331</v>
      </c>
      <c r="L18">
        <v>1339</v>
      </c>
      <c r="N18">
        <v>1007</v>
      </c>
      <c r="O18" t="s">
        <v>310</v>
      </c>
      <c r="P18" t="s">
        <v>310</v>
      </c>
      <c r="Q18">
        <v>1</v>
      </c>
      <c r="X18">
        <v>0.014</v>
      </c>
      <c r="Y18">
        <v>2593.7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0.014</v>
      </c>
      <c r="AH18">
        <v>2</v>
      </c>
      <c r="AI18">
        <v>26615904</v>
      </c>
      <c r="AJ18">
        <v>23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ROW(Source!A37)</f>
        <v>37</v>
      </c>
      <c r="B19">
        <v>26615914</v>
      </c>
      <c r="C19">
        <v>26615895</v>
      </c>
      <c r="D19">
        <v>25688782</v>
      </c>
      <c r="E19">
        <v>1</v>
      </c>
      <c r="F19">
        <v>1</v>
      </c>
      <c r="G19">
        <v>25674181</v>
      </c>
      <c r="H19">
        <v>3</v>
      </c>
      <c r="I19" t="s">
        <v>332</v>
      </c>
      <c r="J19" t="s">
        <v>333</v>
      </c>
      <c r="K19" t="s">
        <v>334</v>
      </c>
      <c r="L19">
        <v>1348</v>
      </c>
      <c r="N19">
        <v>1013</v>
      </c>
      <c r="O19" t="s">
        <v>67</v>
      </c>
      <c r="P19" t="s">
        <v>67</v>
      </c>
      <c r="Q19">
        <v>1</v>
      </c>
      <c r="X19">
        <v>0.0022</v>
      </c>
      <c r="Y19">
        <v>36416.11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0.0022</v>
      </c>
      <c r="AH19">
        <v>2</v>
      </c>
      <c r="AI19">
        <v>26615905</v>
      </c>
      <c r="AJ19">
        <v>24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ROW(Source!A37)</f>
        <v>37</v>
      </c>
      <c r="B20">
        <v>26615915</v>
      </c>
      <c r="C20">
        <v>26615895</v>
      </c>
      <c r="D20">
        <v>25675276</v>
      </c>
      <c r="E20">
        <v>25674181</v>
      </c>
      <c r="F20">
        <v>1</v>
      </c>
      <c r="G20">
        <v>25674181</v>
      </c>
      <c r="H20">
        <v>3</v>
      </c>
      <c r="I20" t="s">
        <v>421</v>
      </c>
      <c r="K20" t="s">
        <v>422</v>
      </c>
      <c r="L20">
        <v>1354</v>
      </c>
      <c r="N20">
        <v>1013</v>
      </c>
      <c r="O20" t="s">
        <v>17</v>
      </c>
      <c r="P20" t="s">
        <v>17</v>
      </c>
      <c r="Q20">
        <v>1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1</v>
      </c>
      <c r="AH20">
        <v>3</v>
      </c>
      <c r="AI20">
        <v>-1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ROW(Source!A39)</f>
        <v>39</v>
      </c>
      <c r="B21">
        <v>26616398</v>
      </c>
      <c r="C21">
        <v>26616397</v>
      </c>
      <c r="D21">
        <v>25674184</v>
      </c>
      <c r="E21">
        <v>25674181</v>
      </c>
      <c r="F21">
        <v>1</v>
      </c>
      <c r="G21">
        <v>25674181</v>
      </c>
      <c r="H21">
        <v>1</v>
      </c>
      <c r="I21" t="s">
        <v>291</v>
      </c>
      <c r="K21" t="s">
        <v>292</v>
      </c>
      <c r="L21">
        <v>1191</v>
      </c>
      <c r="N21">
        <v>1013</v>
      </c>
      <c r="O21" t="s">
        <v>293</v>
      </c>
      <c r="P21" t="s">
        <v>293</v>
      </c>
      <c r="Q21">
        <v>1</v>
      </c>
      <c r="X21">
        <v>94.42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G21">
        <v>94.42</v>
      </c>
      <c r="AH21">
        <v>2</v>
      </c>
      <c r="AI21">
        <v>26616398</v>
      </c>
      <c r="AJ21">
        <v>26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ROW(Source!A39)</f>
        <v>39</v>
      </c>
      <c r="B22">
        <v>26616399</v>
      </c>
      <c r="C22">
        <v>26616397</v>
      </c>
      <c r="D22">
        <v>25685382</v>
      </c>
      <c r="E22">
        <v>1</v>
      </c>
      <c r="F22">
        <v>1</v>
      </c>
      <c r="G22">
        <v>25674181</v>
      </c>
      <c r="H22">
        <v>2</v>
      </c>
      <c r="I22" t="s">
        <v>335</v>
      </c>
      <c r="J22" t="s">
        <v>336</v>
      </c>
      <c r="K22" t="s">
        <v>337</v>
      </c>
      <c r="L22">
        <v>1368</v>
      </c>
      <c r="N22">
        <v>1011</v>
      </c>
      <c r="O22" t="s">
        <v>300</v>
      </c>
      <c r="P22" t="s">
        <v>300</v>
      </c>
      <c r="Q22">
        <v>1</v>
      </c>
      <c r="X22">
        <v>0.08</v>
      </c>
      <c r="Y22">
        <v>0</v>
      </c>
      <c r="Z22">
        <v>46.29</v>
      </c>
      <c r="AA22">
        <v>7.67</v>
      </c>
      <c r="AB22">
        <v>0</v>
      </c>
      <c r="AC22">
        <v>0</v>
      </c>
      <c r="AD22">
        <v>1</v>
      </c>
      <c r="AE22">
        <v>0</v>
      </c>
      <c r="AG22">
        <v>0.08</v>
      </c>
      <c r="AH22">
        <v>2</v>
      </c>
      <c r="AI22">
        <v>26616399</v>
      </c>
      <c r="AJ22">
        <v>27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ROW(Source!A39)</f>
        <v>39</v>
      </c>
      <c r="B23">
        <v>26616400</v>
      </c>
      <c r="C23">
        <v>26616397</v>
      </c>
      <c r="D23">
        <v>25685058</v>
      </c>
      <c r="E23">
        <v>1</v>
      </c>
      <c r="F23">
        <v>1</v>
      </c>
      <c r="G23">
        <v>25674181</v>
      </c>
      <c r="H23">
        <v>2</v>
      </c>
      <c r="I23" t="s">
        <v>338</v>
      </c>
      <c r="J23" t="s">
        <v>339</v>
      </c>
      <c r="K23" t="s">
        <v>340</v>
      </c>
      <c r="L23">
        <v>1368</v>
      </c>
      <c r="N23">
        <v>1011</v>
      </c>
      <c r="O23" t="s">
        <v>300</v>
      </c>
      <c r="P23" t="s">
        <v>300</v>
      </c>
      <c r="Q23">
        <v>1</v>
      </c>
      <c r="X23">
        <v>0.95</v>
      </c>
      <c r="Y23">
        <v>0</v>
      </c>
      <c r="Z23">
        <v>23.13</v>
      </c>
      <c r="AA23">
        <v>0.82</v>
      </c>
      <c r="AB23">
        <v>0</v>
      </c>
      <c r="AC23">
        <v>0</v>
      </c>
      <c r="AD23">
        <v>1</v>
      </c>
      <c r="AE23">
        <v>0</v>
      </c>
      <c r="AG23">
        <v>0.95</v>
      </c>
      <c r="AH23">
        <v>2</v>
      </c>
      <c r="AI23">
        <v>26616400</v>
      </c>
      <c r="AJ23">
        <v>28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ROW(Source!A39)</f>
        <v>39</v>
      </c>
      <c r="B24">
        <v>26616401</v>
      </c>
      <c r="C24">
        <v>26616397</v>
      </c>
      <c r="D24">
        <v>25687629</v>
      </c>
      <c r="E24">
        <v>1</v>
      </c>
      <c r="F24">
        <v>1</v>
      </c>
      <c r="G24">
        <v>25674181</v>
      </c>
      <c r="H24">
        <v>3</v>
      </c>
      <c r="I24" t="s">
        <v>317</v>
      </c>
      <c r="J24" t="s">
        <v>318</v>
      </c>
      <c r="K24" t="s">
        <v>319</v>
      </c>
      <c r="L24">
        <v>1348</v>
      </c>
      <c r="N24">
        <v>1013</v>
      </c>
      <c r="O24" t="s">
        <v>67</v>
      </c>
      <c r="P24" t="s">
        <v>67</v>
      </c>
      <c r="Q24">
        <v>1</v>
      </c>
      <c r="X24">
        <v>0.0007</v>
      </c>
      <c r="Y24">
        <v>117957.19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0.0007</v>
      </c>
      <c r="AH24">
        <v>2</v>
      </c>
      <c r="AI24">
        <v>26616401</v>
      </c>
      <c r="AJ24">
        <v>29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ROW(Source!A39)</f>
        <v>39</v>
      </c>
      <c r="B25">
        <v>26616402</v>
      </c>
      <c r="C25">
        <v>26616397</v>
      </c>
      <c r="D25">
        <v>25675595</v>
      </c>
      <c r="E25">
        <v>25674181</v>
      </c>
      <c r="F25">
        <v>1</v>
      </c>
      <c r="G25">
        <v>25674181</v>
      </c>
      <c r="H25">
        <v>3</v>
      </c>
      <c r="I25" t="s">
        <v>423</v>
      </c>
      <c r="K25" t="s">
        <v>424</v>
      </c>
      <c r="L25">
        <v>1348</v>
      </c>
      <c r="N25">
        <v>1013</v>
      </c>
      <c r="O25" t="s">
        <v>67</v>
      </c>
      <c r="P25" t="s">
        <v>67</v>
      </c>
      <c r="Q25">
        <v>1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v>1</v>
      </c>
      <c r="AH25">
        <v>3</v>
      </c>
      <c r="AI25">
        <v>-1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ROW(Source!A41)</f>
        <v>41</v>
      </c>
      <c r="B26">
        <v>26616409</v>
      </c>
      <c r="C26">
        <v>26616408</v>
      </c>
      <c r="D26">
        <v>25674184</v>
      </c>
      <c r="E26">
        <v>25674181</v>
      </c>
      <c r="F26">
        <v>1</v>
      </c>
      <c r="G26">
        <v>25674181</v>
      </c>
      <c r="H26">
        <v>1</v>
      </c>
      <c r="I26" t="s">
        <v>291</v>
      </c>
      <c r="K26" t="s">
        <v>292</v>
      </c>
      <c r="L26">
        <v>1191</v>
      </c>
      <c r="N26">
        <v>1013</v>
      </c>
      <c r="O26" t="s">
        <v>293</v>
      </c>
      <c r="P26" t="s">
        <v>293</v>
      </c>
      <c r="Q26">
        <v>1</v>
      </c>
      <c r="X26">
        <v>177.1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</v>
      </c>
      <c r="AG26">
        <v>177.1</v>
      </c>
      <c r="AH26">
        <v>2</v>
      </c>
      <c r="AI26">
        <v>26616409</v>
      </c>
      <c r="AJ26">
        <v>31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ROW(Source!A41)</f>
        <v>41</v>
      </c>
      <c r="B27">
        <v>26616410</v>
      </c>
      <c r="C27">
        <v>26616408</v>
      </c>
      <c r="D27">
        <v>25685390</v>
      </c>
      <c r="E27">
        <v>1</v>
      </c>
      <c r="F27">
        <v>1</v>
      </c>
      <c r="G27">
        <v>25674181</v>
      </c>
      <c r="H27">
        <v>2</v>
      </c>
      <c r="I27" t="s">
        <v>297</v>
      </c>
      <c r="J27" t="s">
        <v>298</v>
      </c>
      <c r="K27" t="s">
        <v>299</v>
      </c>
      <c r="L27">
        <v>1368</v>
      </c>
      <c r="N27">
        <v>1011</v>
      </c>
      <c r="O27" t="s">
        <v>300</v>
      </c>
      <c r="P27" t="s">
        <v>300</v>
      </c>
      <c r="Q27">
        <v>1</v>
      </c>
      <c r="X27">
        <v>1.92</v>
      </c>
      <c r="Y27">
        <v>0</v>
      </c>
      <c r="Z27">
        <v>32.82</v>
      </c>
      <c r="AA27">
        <v>6.85</v>
      </c>
      <c r="AB27">
        <v>0</v>
      </c>
      <c r="AC27">
        <v>0</v>
      </c>
      <c r="AD27">
        <v>1</v>
      </c>
      <c r="AE27">
        <v>0</v>
      </c>
      <c r="AG27">
        <v>1.92</v>
      </c>
      <c r="AH27">
        <v>2</v>
      </c>
      <c r="AI27">
        <v>26616410</v>
      </c>
      <c r="AJ27">
        <v>32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ROW(Source!A41)</f>
        <v>41</v>
      </c>
      <c r="B28">
        <v>26616411</v>
      </c>
      <c r="C28">
        <v>26616408</v>
      </c>
      <c r="D28">
        <v>25685711</v>
      </c>
      <c r="E28">
        <v>1</v>
      </c>
      <c r="F28">
        <v>1</v>
      </c>
      <c r="G28">
        <v>25674181</v>
      </c>
      <c r="H28">
        <v>2</v>
      </c>
      <c r="I28" t="s">
        <v>341</v>
      </c>
      <c r="J28" t="s">
        <v>342</v>
      </c>
      <c r="K28" t="s">
        <v>343</v>
      </c>
      <c r="L28">
        <v>1368</v>
      </c>
      <c r="N28">
        <v>1011</v>
      </c>
      <c r="O28" t="s">
        <v>300</v>
      </c>
      <c r="P28" t="s">
        <v>300</v>
      </c>
      <c r="Q28">
        <v>1</v>
      </c>
      <c r="X28">
        <v>0.42</v>
      </c>
      <c r="Y28">
        <v>0</v>
      </c>
      <c r="Z28">
        <v>28.36</v>
      </c>
      <c r="AA28">
        <v>9.49</v>
      </c>
      <c r="AB28">
        <v>0</v>
      </c>
      <c r="AC28">
        <v>0</v>
      </c>
      <c r="AD28">
        <v>1</v>
      </c>
      <c r="AE28">
        <v>0</v>
      </c>
      <c r="AG28">
        <v>0.42</v>
      </c>
      <c r="AH28">
        <v>2</v>
      </c>
      <c r="AI28">
        <v>26616411</v>
      </c>
      <c r="AJ28">
        <v>33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ROW(Source!A41)</f>
        <v>41</v>
      </c>
      <c r="B29">
        <v>26616413</v>
      </c>
      <c r="C29">
        <v>26616408</v>
      </c>
      <c r="D29">
        <v>25686794</v>
      </c>
      <c r="E29">
        <v>1</v>
      </c>
      <c r="F29">
        <v>1</v>
      </c>
      <c r="G29">
        <v>25674181</v>
      </c>
      <c r="H29">
        <v>3</v>
      </c>
      <c r="I29" t="s">
        <v>314</v>
      </c>
      <c r="J29" t="s">
        <v>315</v>
      </c>
      <c r="K29" t="s">
        <v>316</v>
      </c>
      <c r="L29">
        <v>1348</v>
      </c>
      <c r="N29">
        <v>1013</v>
      </c>
      <c r="O29" t="s">
        <v>67</v>
      </c>
      <c r="P29" t="s">
        <v>67</v>
      </c>
      <c r="Q29">
        <v>1</v>
      </c>
      <c r="X29">
        <v>0.015</v>
      </c>
      <c r="Y29">
        <v>85160.23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0.015</v>
      </c>
      <c r="AH29">
        <v>2</v>
      </c>
      <c r="AI29">
        <v>26616413</v>
      </c>
      <c r="AJ29">
        <v>34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ROW(Source!A41)</f>
        <v>41</v>
      </c>
      <c r="B30">
        <v>26616412</v>
      </c>
      <c r="C30">
        <v>26616408</v>
      </c>
      <c r="D30">
        <v>25685895</v>
      </c>
      <c r="E30">
        <v>1</v>
      </c>
      <c r="F30">
        <v>1</v>
      </c>
      <c r="G30">
        <v>25674181</v>
      </c>
      <c r="H30">
        <v>3</v>
      </c>
      <c r="I30" t="s">
        <v>344</v>
      </c>
      <c r="J30" t="s">
        <v>345</v>
      </c>
      <c r="K30" t="s">
        <v>346</v>
      </c>
      <c r="L30">
        <v>1348</v>
      </c>
      <c r="N30">
        <v>1013</v>
      </c>
      <c r="O30" t="s">
        <v>67</v>
      </c>
      <c r="P30" t="s">
        <v>67</v>
      </c>
      <c r="Q30">
        <v>1</v>
      </c>
      <c r="X30">
        <v>0.00501</v>
      </c>
      <c r="Y30">
        <v>18733.8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0.00501</v>
      </c>
      <c r="AH30">
        <v>2</v>
      </c>
      <c r="AI30">
        <v>26616412</v>
      </c>
      <c r="AJ30">
        <v>35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ROW(Source!A41)</f>
        <v>41</v>
      </c>
      <c r="B31">
        <v>26616414</v>
      </c>
      <c r="C31">
        <v>26616408</v>
      </c>
      <c r="D31">
        <v>25687630</v>
      </c>
      <c r="E31">
        <v>1</v>
      </c>
      <c r="F31">
        <v>1</v>
      </c>
      <c r="G31">
        <v>25674181</v>
      </c>
      <c r="H31">
        <v>3</v>
      </c>
      <c r="I31" t="s">
        <v>304</v>
      </c>
      <c r="J31" t="s">
        <v>305</v>
      </c>
      <c r="K31" t="s">
        <v>306</v>
      </c>
      <c r="L31">
        <v>1348</v>
      </c>
      <c r="N31">
        <v>1013</v>
      </c>
      <c r="O31" t="s">
        <v>67</v>
      </c>
      <c r="P31" t="s">
        <v>67</v>
      </c>
      <c r="Q31">
        <v>1</v>
      </c>
      <c r="X31">
        <v>0.00045</v>
      </c>
      <c r="Y31">
        <v>109898.69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0.00045</v>
      </c>
      <c r="AH31">
        <v>2</v>
      </c>
      <c r="AI31">
        <v>26616414</v>
      </c>
      <c r="AJ31">
        <v>36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ROW(Source!A41)</f>
        <v>41</v>
      </c>
      <c r="B32">
        <v>26616415</v>
      </c>
      <c r="C32">
        <v>26616408</v>
      </c>
      <c r="D32">
        <v>25687974</v>
      </c>
      <c r="E32">
        <v>1</v>
      </c>
      <c r="F32">
        <v>1</v>
      </c>
      <c r="G32">
        <v>25674181</v>
      </c>
      <c r="H32">
        <v>3</v>
      </c>
      <c r="I32" t="s">
        <v>320</v>
      </c>
      <c r="J32" t="s">
        <v>321</v>
      </c>
      <c r="K32" t="s">
        <v>322</v>
      </c>
      <c r="L32">
        <v>1348</v>
      </c>
      <c r="N32">
        <v>1013</v>
      </c>
      <c r="O32" t="s">
        <v>67</v>
      </c>
      <c r="P32" t="s">
        <v>67</v>
      </c>
      <c r="Q32">
        <v>1</v>
      </c>
      <c r="X32">
        <v>0.008</v>
      </c>
      <c r="Y32">
        <v>142669.85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0.008</v>
      </c>
      <c r="AH32">
        <v>2</v>
      </c>
      <c r="AI32">
        <v>26616415</v>
      </c>
      <c r="AJ32">
        <v>37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ROW(Source!A41)</f>
        <v>41</v>
      </c>
      <c r="B33">
        <v>26616416</v>
      </c>
      <c r="C33">
        <v>26616408</v>
      </c>
      <c r="D33">
        <v>25688067</v>
      </c>
      <c r="E33">
        <v>1</v>
      </c>
      <c r="F33">
        <v>1</v>
      </c>
      <c r="G33">
        <v>25674181</v>
      </c>
      <c r="H33">
        <v>3</v>
      </c>
      <c r="I33" t="s">
        <v>347</v>
      </c>
      <c r="J33" t="s">
        <v>348</v>
      </c>
      <c r="K33" t="s">
        <v>349</v>
      </c>
      <c r="L33">
        <v>1348</v>
      </c>
      <c r="N33">
        <v>1013</v>
      </c>
      <c r="O33" t="s">
        <v>67</v>
      </c>
      <c r="P33" t="s">
        <v>67</v>
      </c>
      <c r="Q33">
        <v>1</v>
      </c>
      <c r="X33">
        <v>0.00089</v>
      </c>
      <c r="Y33">
        <v>165838.61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0.00089</v>
      </c>
      <c r="AH33">
        <v>2</v>
      </c>
      <c r="AI33">
        <v>26616416</v>
      </c>
      <c r="AJ33">
        <v>38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ROW(Source!A41)</f>
        <v>41</v>
      </c>
      <c r="B34">
        <v>26616417</v>
      </c>
      <c r="C34">
        <v>26616408</v>
      </c>
      <c r="D34">
        <v>25675233</v>
      </c>
      <c r="E34">
        <v>25674181</v>
      </c>
      <c r="F34">
        <v>1</v>
      </c>
      <c r="G34">
        <v>25674181</v>
      </c>
      <c r="H34">
        <v>3</v>
      </c>
      <c r="I34" t="s">
        <v>425</v>
      </c>
      <c r="K34" t="s">
        <v>426</v>
      </c>
      <c r="L34">
        <v>1354</v>
      </c>
      <c r="N34">
        <v>1013</v>
      </c>
      <c r="O34" t="s">
        <v>17</v>
      </c>
      <c r="P34" t="s">
        <v>17</v>
      </c>
      <c r="Q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G34">
        <v>0</v>
      </c>
      <c r="AH34">
        <v>3</v>
      </c>
      <c r="AI34">
        <v>-1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ROW(Source!A41)</f>
        <v>41</v>
      </c>
      <c r="B35">
        <v>26616418</v>
      </c>
      <c r="C35">
        <v>26616408</v>
      </c>
      <c r="D35">
        <v>25675221</v>
      </c>
      <c r="E35">
        <v>25674181</v>
      </c>
      <c r="F35">
        <v>1</v>
      </c>
      <c r="G35">
        <v>25674181</v>
      </c>
      <c r="H35">
        <v>3</v>
      </c>
      <c r="I35" t="s">
        <v>427</v>
      </c>
      <c r="K35" t="s">
        <v>428</v>
      </c>
      <c r="L35">
        <v>1327</v>
      </c>
      <c r="N35">
        <v>1013</v>
      </c>
      <c r="O35" t="s">
        <v>85</v>
      </c>
      <c r="P35" t="s">
        <v>85</v>
      </c>
      <c r="Q35">
        <v>1</v>
      </c>
      <c r="X35">
        <v>100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G35">
        <v>100</v>
      </c>
      <c r="AH35">
        <v>3</v>
      </c>
      <c r="AI35">
        <v>-1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ROW(Source!A41)</f>
        <v>41</v>
      </c>
      <c r="B36">
        <v>26616419</v>
      </c>
      <c r="C36">
        <v>26616408</v>
      </c>
      <c r="D36">
        <v>25675231</v>
      </c>
      <c r="E36">
        <v>25674181</v>
      </c>
      <c r="F36">
        <v>1</v>
      </c>
      <c r="G36">
        <v>25674181</v>
      </c>
      <c r="H36">
        <v>3</v>
      </c>
      <c r="I36" t="s">
        <v>429</v>
      </c>
      <c r="K36" t="s">
        <v>430</v>
      </c>
      <c r="L36">
        <v>1354</v>
      </c>
      <c r="N36">
        <v>1013</v>
      </c>
      <c r="O36" t="s">
        <v>17</v>
      </c>
      <c r="P36" t="s">
        <v>17</v>
      </c>
      <c r="Q36">
        <v>1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G36">
        <v>0</v>
      </c>
      <c r="AH36">
        <v>3</v>
      </c>
      <c r="AI36">
        <v>-1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ROW(Source!A41)</f>
        <v>41</v>
      </c>
      <c r="B37">
        <v>26616420</v>
      </c>
      <c r="C37">
        <v>26616408</v>
      </c>
      <c r="D37">
        <v>25675227</v>
      </c>
      <c r="E37">
        <v>25674181</v>
      </c>
      <c r="F37">
        <v>1</v>
      </c>
      <c r="G37">
        <v>25674181</v>
      </c>
      <c r="H37">
        <v>3</v>
      </c>
      <c r="I37" t="s">
        <v>431</v>
      </c>
      <c r="K37" t="s">
        <v>432</v>
      </c>
      <c r="L37">
        <v>1346</v>
      </c>
      <c r="N37">
        <v>1013</v>
      </c>
      <c r="O37" t="s">
        <v>140</v>
      </c>
      <c r="P37" t="s">
        <v>140</v>
      </c>
      <c r="Q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G37">
        <v>0</v>
      </c>
      <c r="AH37">
        <v>3</v>
      </c>
      <c r="AI37">
        <v>-1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ROW(Source!A41)</f>
        <v>41</v>
      </c>
      <c r="B38">
        <v>26616421</v>
      </c>
      <c r="C38">
        <v>26616408</v>
      </c>
      <c r="D38">
        <v>25675225</v>
      </c>
      <c r="E38">
        <v>25674181</v>
      </c>
      <c r="F38">
        <v>1</v>
      </c>
      <c r="G38">
        <v>25674181</v>
      </c>
      <c r="H38">
        <v>3</v>
      </c>
      <c r="I38" t="s">
        <v>433</v>
      </c>
      <c r="K38" t="s">
        <v>434</v>
      </c>
      <c r="L38">
        <v>1327</v>
      </c>
      <c r="N38">
        <v>1013</v>
      </c>
      <c r="O38" t="s">
        <v>85</v>
      </c>
      <c r="P38" t="s">
        <v>85</v>
      </c>
      <c r="Q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G38">
        <v>0</v>
      </c>
      <c r="AH38">
        <v>3</v>
      </c>
      <c r="AI38">
        <v>-1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ROW(Source!A41)</f>
        <v>41</v>
      </c>
      <c r="B39">
        <v>26616422</v>
      </c>
      <c r="C39">
        <v>26616408</v>
      </c>
      <c r="D39">
        <v>25675223</v>
      </c>
      <c r="E39">
        <v>25674181</v>
      </c>
      <c r="F39">
        <v>1</v>
      </c>
      <c r="G39">
        <v>25674181</v>
      </c>
      <c r="H39">
        <v>3</v>
      </c>
      <c r="I39" t="s">
        <v>423</v>
      </c>
      <c r="K39" t="s">
        <v>435</v>
      </c>
      <c r="L39">
        <v>1354</v>
      </c>
      <c r="N39">
        <v>1013</v>
      </c>
      <c r="O39" t="s">
        <v>17</v>
      </c>
      <c r="P39" t="s">
        <v>17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G39">
        <v>0</v>
      </c>
      <c r="AH39">
        <v>3</v>
      </c>
      <c r="AI39">
        <v>-1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ROW(Source!A47)</f>
        <v>47</v>
      </c>
      <c r="B40">
        <v>26616442</v>
      </c>
      <c r="C40">
        <v>26616441</v>
      </c>
      <c r="D40">
        <v>25674184</v>
      </c>
      <c r="E40">
        <v>25674181</v>
      </c>
      <c r="F40">
        <v>1</v>
      </c>
      <c r="G40">
        <v>25674181</v>
      </c>
      <c r="H40">
        <v>1</v>
      </c>
      <c r="I40" t="s">
        <v>291</v>
      </c>
      <c r="K40" t="s">
        <v>292</v>
      </c>
      <c r="L40">
        <v>1191</v>
      </c>
      <c r="N40">
        <v>1013</v>
      </c>
      <c r="O40" t="s">
        <v>293</v>
      </c>
      <c r="P40" t="s">
        <v>293</v>
      </c>
      <c r="Q40">
        <v>1</v>
      </c>
      <c r="X40">
        <v>162.15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1</v>
      </c>
      <c r="AG40">
        <v>162.15</v>
      </c>
      <c r="AH40">
        <v>2</v>
      </c>
      <c r="AI40">
        <v>26616442</v>
      </c>
      <c r="AJ40">
        <v>44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ROW(Source!A47)</f>
        <v>47</v>
      </c>
      <c r="B41">
        <v>26616443</v>
      </c>
      <c r="C41">
        <v>26616441</v>
      </c>
      <c r="D41">
        <v>25685390</v>
      </c>
      <c r="E41">
        <v>1</v>
      </c>
      <c r="F41">
        <v>1</v>
      </c>
      <c r="G41">
        <v>25674181</v>
      </c>
      <c r="H41">
        <v>2</v>
      </c>
      <c r="I41" t="s">
        <v>297</v>
      </c>
      <c r="J41" t="s">
        <v>298</v>
      </c>
      <c r="K41" t="s">
        <v>299</v>
      </c>
      <c r="L41">
        <v>1368</v>
      </c>
      <c r="N41">
        <v>1011</v>
      </c>
      <c r="O41" t="s">
        <v>300</v>
      </c>
      <c r="P41" t="s">
        <v>300</v>
      </c>
      <c r="Q41">
        <v>1</v>
      </c>
      <c r="X41">
        <v>1.75</v>
      </c>
      <c r="Y41">
        <v>0</v>
      </c>
      <c r="Z41">
        <v>32.82</v>
      </c>
      <c r="AA41">
        <v>6.85</v>
      </c>
      <c r="AB41">
        <v>0</v>
      </c>
      <c r="AC41">
        <v>0</v>
      </c>
      <c r="AD41">
        <v>1</v>
      </c>
      <c r="AE41">
        <v>0</v>
      </c>
      <c r="AG41">
        <v>1.75</v>
      </c>
      <c r="AH41">
        <v>2</v>
      </c>
      <c r="AI41">
        <v>26616443</v>
      </c>
      <c r="AJ41">
        <v>45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ROW(Source!A47)</f>
        <v>47</v>
      </c>
      <c r="B42">
        <v>26616444</v>
      </c>
      <c r="C42">
        <v>26616441</v>
      </c>
      <c r="D42">
        <v>25685711</v>
      </c>
      <c r="E42">
        <v>1</v>
      </c>
      <c r="F42">
        <v>1</v>
      </c>
      <c r="G42">
        <v>25674181</v>
      </c>
      <c r="H42">
        <v>2</v>
      </c>
      <c r="I42" t="s">
        <v>341</v>
      </c>
      <c r="J42" t="s">
        <v>342</v>
      </c>
      <c r="K42" t="s">
        <v>343</v>
      </c>
      <c r="L42">
        <v>1368</v>
      </c>
      <c r="N42">
        <v>1011</v>
      </c>
      <c r="O42" t="s">
        <v>300</v>
      </c>
      <c r="P42" t="s">
        <v>300</v>
      </c>
      <c r="Q42">
        <v>1</v>
      </c>
      <c r="X42">
        <v>0.42</v>
      </c>
      <c r="Y42">
        <v>0</v>
      </c>
      <c r="Z42">
        <v>28.36</v>
      </c>
      <c r="AA42">
        <v>9.49</v>
      </c>
      <c r="AB42">
        <v>0</v>
      </c>
      <c r="AC42">
        <v>0</v>
      </c>
      <c r="AD42">
        <v>1</v>
      </c>
      <c r="AE42">
        <v>0</v>
      </c>
      <c r="AG42">
        <v>0.42</v>
      </c>
      <c r="AH42">
        <v>2</v>
      </c>
      <c r="AI42">
        <v>26616444</v>
      </c>
      <c r="AJ42">
        <v>46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ROW(Source!A47)</f>
        <v>47</v>
      </c>
      <c r="B43">
        <v>26616446</v>
      </c>
      <c r="C43">
        <v>26616441</v>
      </c>
      <c r="D43">
        <v>25686794</v>
      </c>
      <c r="E43">
        <v>1</v>
      </c>
      <c r="F43">
        <v>1</v>
      </c>
      <c r="G43">
        <v>25674181</v>
      </c>
      <c r="H43">
        <v>3</v>
      </c>
      <c r="I43" t="s">
        <v>314</v>
      </c>
      <c r="J43" t="s">
        <v>315</v>
      </c>
      <c r="K43" t="s">
        <v>316</v>
      </c>
      <c r="L43">
        <v>1348</v>
      </c>
      <c r="N43">
        <v>1013</v>
      </c>
      <c r="O43" t="s">
        <v>67</v>
      </c>
      <c r="P43" t="s">
        <v>67</v>
      </c>
      <c r="Q43">
        <v>1</v>
      </c>
      <c r="X43">
        <v>0.015</v>
      </c>
      <c r="Y43">
        <v>85160.23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0.015</v>
      </c>
      <c r="AH43">
        <v>2</v>
      </c>
      <c r="AI43">
        <v>26616446</v>
      </c>
      <c r="AJ43">
        <v>47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ROW(Source!A47)</f>
        <v>47</v>
      </c>
      <c r="B44">
        <v>26616445</v>
      </c>
      <c r="C44">
        <v>26616441</v>
      </c>
      <c r="D44">
        <v>25685895</v>
      </c>
      <c r="E44">
        <v>1</v>
      </c>
      <c r="F44">
        <v>1</v>
      </c>
      <c r="G44">
        <v>25674181</v>
      </c>
      <c r="H44">
        <v>3</v>
      </c>
      <c r="I44" t="s">
        <v>344</v>
      </c>
      <c r="J44" t="s">
        <v>345</v>
      </c>
      <c r="K44" t="s">
        <v>346</v>
      </c>
      <c r="L44">
        <v>1348</v>
      </c>
      <c r="N44">
        <v>1013</v>
      </c>
      <c r="O44" t="s">
        <v>67</v>
      </c>
      <c r="P44" t="s">
        <v>67</v>
      </c>
      <c r="Q44">
        <v>1</v>
      </c>
      <c r="X44">
        <v>0.00501</v>
      </c>
      <c r="Y44">
        <v>18733.8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0.00501</v>
      </c>
      <c r="AH44">
        <v>2</v>
      </c>
      <c r="AI44">
        <v>26616445</v>
      </c>
      <c r="AJ44">
        <v>48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ROW(Source!A47)</f>
        <v>47</v>
      </c>
      <c r="B45">
        <v>26616447</v>
      </c>
      <c r="C45">
        <v>26616441</v>
      </c>
      <c r="D45">
        <v>25687630</v>
      </c>
      <c r="E45">
        <v>1</v>
      </c>
      <c r="F45">
        <v>1</v>
      </c>
      <c r="G45">
        <v>25674181</v>
      </c>
      <c r="H45">
        <v>3</v>
      </c>
      <c r="I45" t="s">
        <v>304</v>
      </c>
      <c r="J45" t="s">
        <v>305</v>
      </c>
      <c r="K45" t="s">
        <v>306</v>
      </c>
      <c r="L45">
        <v>1348</v>
      </c>
      <c r="N45">
        <v>1013</v>
      </c>
      <c r="O45" t="s">
        <v>67</v>
      </c>
      <c r="P45" t="s">
        <v>67</v>
      </c>
      <c r="Q45">
        <v>1</v>
      </c>
      <c r="X45">
        <v>0.00041</v>
      </c>
      <c r="Y45">
        <v>109898.69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0.00041</v>
      </c>
      <c r="AH45">
        <v>2</v>
      </c>
      <c r="AI45">
        <v>26616447</v>
      </c>
      <c r="AJ45">
        <v>49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ROW(Source!A47)</f>
        <v>47</v>
      </c>
      <c r="B46">
        <v>26616448</v>
      </c>
      <c r="C46">
        <v>26616441</v>
      </c>
      <c r="D46">
        <v>25687974</v>
      </c>
      <c r="E46">
        <v>1</v>
      </c>
      <c r="F46">
        <v>1</v>
      </c>
      <c r="G46">
        <v>25674181</v>
      </c>
      <c r="H46">
        <v>3</v>
      </c>
      <c r="I46" t="s">
        <v>320</v>
      </c>
      <c r="J46" t="s">
        <v>321</v>
      </c>
      <c r="K46" t="s">
        <v>322</v>
      </c>
      <c r="L46">
        <v>1348</v>
      </c>
      <c r="N46">
        <v>1013</v>
      </c>
      <c r="O46" t="s">
        <v>67</v>
      </c>
      <c r="P46" t="s">
        <v>67</v>
      </c>
      <c r="Q46">
        <v>1</v>
      </c>
      <c r="X46">
        <v>0.008</v>
      </c>
      <c r="Y46">
        <v>142669.85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0.008</v>
      </c>
      <c r="AH46">
        <v>2</v>
      </c>
      <c r="AI46">
        <v>26616448</v>
      </c>
      <c r="AJ46">
        <v>50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ROW(Source!A47)</f>
        <v>47</v>
      </c>
      <c r="B47">
        <v>26616449</v>
      </c>
      <c r="C47">
        <v>26616441</v>
      </c>
      <c r="D47">
        <v>25688067</v>
      </c>
      <c r="E47">
        <v>1</v>
      </c>
      <c r="F47">
        <v>1</v>
      </c>
      <c r="G47">
        <v>25674181</v>
      </c>
      <c r="H47">
        <v>3</v>
      </c>
      <c r="I47" t="s">
        <v>347</v>
      </c>
      <c r="J47" t="s">
        <v>348</v>
      </c>
      <c r="K47" t="s">
        <v>349</v>
      </c>
      <c r="L47">
        <v>1348</v>
      </c>
      <c r="N47">
        <v>1013</v>
      </c>
      <c r="O47" t="s">
        <v>67</v>
      </c>
      <c r="P47" t="s">
        <v>67</v>
      </c>
      <c r="Q47">
        <v>1</v>
      </c>
      <c r="X47">
        <v>0.00089</v>
      </c>
      <c r="Y47">
        <v>165838.61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0.00089</v>
      </c>
      <c r="AH47">
        <v>2</v>
      </c>
      <c r="AI47">
        <v>26616449</v>
      </c>
      <c r="AJ47">
        <v>51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ROW(Source!A47)</f>
        <v>47</v>
      </c>
      <c r="B48">
        <v>26616450</v>
      </c>
      <c r="C48">
        <v>26616441</v>
      </c>
      <c r="D48">
        <v>25675233</v>
      </c>
      <c r="E48">
        <v>25674181</v>
      </c>
      <c r="F48">
        <v>1</v>
      </c>
      <c r="G48">
        <v>25674181</v>
      </c>
      <c r="H48">
        <v>3</v>
      </c>
      <c r="I48" t="s">
        <v>425</v>
      </c>
      <c r="K48" t="s">
        <v>426</v>
      </c>
      <c r="L48">
        <v>1354</v>
      </c>
      <c r="N48">
        <v>1013</v>
      </c>
      <c r="O48" t="s">
        <v>17</v>
      </c>
      <c r="P48" t="s">
        <v>17</v>
      </c>
      <c r="Q48">
        <v>1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G48">
        <v>0</v>
      </c>
      <c r="AH48">
        <v>3</v>
      </c>
      <c r="AI48">
        <v>-1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ROW(Source!A47)</f>
        <v>47</v>
      </c>
      <c r="B49">
        <v>26616451</v>
      </c>
      <c r="C49">
        <v>26616441</v>
      </c>
      <c r="D49">
        <v>25675221</v>
      </c>
      <c r="E49">
        <v>25674181</v>
      </c>
      <c r="F49">
        <v>1</v>
      </c>
      <c r="G49">
        <v>25674181</v>
      </c>
      <c r="H49">
        <v>3</v>
      </c>
      <c r="I49" t="s">
        <v>427</v>
      </c>
      <c r="K49" t="s">
        <v>428</v>
      </c>
      <c r="L49">
        <v>1327</v>
      </c>
      <c r="N49">
        <v>1013</v>
      </c>
      <c r="O49" t="s">
        <v>85</v>
      </c>
      <c r="P49" t="s">
        <v>85</v>
      </c>
      <c r="Q49">
        <v>1</v>
      </c>
      <c r="X49">
        <v>100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G49">
        <v>100</v>
      </c>
      <c r="AH49">
        <v>3</v>
      </c>
      <c r="AI49">
        <v>-1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ROW(Source!A47)</f>
        <v>47</v>
      </c>
      <c r="B50">
        <v>26616452</v>
      </c>
      <c r="C50">
        <v>26616441</v>
      </c>
      <c r="D50">
        <v>25675231</v>
      </c>
      <c r="E50">
        <v>25674181</v>
      </c>
      <c r="F50">
        <v>1</v>
      </c>
      <c r="G50">
        <v>25674181</v>
      </c>
      <c r="H50">
        <v>3</v>
      </c>
      <c r="I50" t="s">
        <v>429</v>
      </c>
      <c r="K50" t="s">
        <v>430</v>
      </c>
      <c r="L50">
        <v>1354</v>
      </c>
      <c r="N50">
        <v>1013</v>
      </c>
      <c r="O50" t="s">
        <v>17</v>
      </c>
      <c r="P50" t="s">
        <v>17</v>
      </c>
      <c r="Q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G50">
        <v>0</v>
      </c>
      <c r="AH50">
        <v>3</v>
      </c>
      <c r="AI50">
        <v>-1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ROW(Source!A47)</f>
        <v>47</v>
      </c>
      <c r="B51">
        <v>26616453</v>
      </c>
      <c r="C51">
        <v>26616441</v>
      </c>
      <c r="D51">
        <v>25675227</v>
      </c>
      <c r="E51">
        <v>25674181</v>
      </c>
      <c r="F51">
        <v>1</v>
      </c>
      <c r="G51">
        <v>25674181</v>
      </c>
      <c r="H51">
        <v>3</v>
      </c>
      <c r="I51" t="s">
        <v>431</v>
      </c>
      <c r="K51" t="s">
        <v>432</v>
      </c>
      <c r="L51">
        <v>1346</v>
      </c>
      <c r="N51">
        <v>1013</v>
      </c>
      <c r="O51" t="s">
        <v>140</v>
      </c>
      <c r="P51" t="s">
        <v>140</v>
      </c>
      <c r="Q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G51">
        <v>0</v>
      </c>
      <c r="AH51">
        <v>3</v>
      </c>
      <c r="AI51">
        <v>-1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ROW(Source!A47)</f>
        <v>47</v>
      </c>
      <c r="B52">
        <v>26616454</v>
      </c>
      <c r="C52">
        <v>26616441</v>
      </c>
      <c r="D52">
        <v>25675225</v>
      </c>
      <c r="E52">
        <v>25674181</v>
      </c>
      <c r="F52">
        <v>1</v>
      </c>
      <c r="G52">
        <v>25674181</v>
      </c>
      <c r="H52">
        <v>3</v>
      </c>
      <c r="I52" t="s">
        <v>433</v>
      </c>
      <c r="K52" t="s">
        <v>434</v>
      </c>
      <c r="L52">
        <v>1327</v>
      </c>
      <c r="N52">
        <v>1013</v>
      </c>
      <c r="O52" t="s">
        <v>85</v>
      </c>
      <c r="P52" t="s">
        <v>85</v>
      </c>
      <c r="Q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G52">
        <v>0</v>
      </c>
      <c r="AH52">
        <v>3</v>
      </c>
      <c r="AI52">
        <v>-1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ROW(Source!A47)</f>
        <v>47</v>
      </c>
      <c r="B53">
        <v>26616455</v>
      </c>
      <c r="C53">
        <v>26616441</v>
      </c>
      <c r="D53">
        <v>25675223</v>
      </c>
      <c r="E53">
        <v>25674181</v>
      </c>
      <c r="F53">
        <v>1</v>
      </c>
      <c r="G53">
        <v>25674181</v>
      </c>
      <c r="H53">
        <v>3</v>
      </c>
      <c r="I53" t="s">
        <v>423</v>
      </c>
      <c r="K53" t="s">
        <v>435</v>
      </c>
      <c r="L53">
        <v>1354</v>
      </c>
      <c r="N53">
        <v>1013</v>
      </c>
      <c r="O53" t="s">
        <v>17</v>
      </c>
      <c r="P53" t="s">
        <v>17</v>
      </c>
      <c r="Q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G53">
        <v>0</v>
      </c>
      <c r="AH53">
        <v>3</v>
      </c>
      <c r="AI53">
        <v>-1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ROW(Source!A51)</f>
        <v>51</v>
      </c>
      <c r="B54">
        <v>26616469</v>
      </c>
      <c r="C54">
        <v>26616468</v>
      </c>
      <c r="D54">
        <v>25674184</v>
      </c>
      <c r="E54">
        <v>25674181</v>
      </c>
      <c r="F54">
        <v>1</v>
      </c>
      <c r="G54">
        <v>25674181</v>
      </c>
      <c r="H54">
        <v>1</v>
      </c>
      <c r="I54" t="s">
        <v>291</v>
      </c>
      <c r="K54" t="s">
        <v>292</v>
      </c>
      <c r="L54">
        <v>1191</v>
      </c>
      <c r="N54">
        <v>1013</v>
      </c>
      <c r="O54" t="s">
        <v>293</v>
      </c>
      <c r="P54" t="s">
        <v>293</v>
      </c>
      <c r="Q54">
        <v>1</v>
      </c>
      <c r="X54">
        <v>148.35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1</v>
      </c>
      <c r="AG54">
        <v>148.35</v>
      </c>
      <c r="AH54">
        <v>2</v>
      </c>
      <c r="AI54">
        <v>26616469</v>
      </c>
      <c r="AJ54">
        <v>55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ROW(Source!A51)</f>
        <v>51</v>
      </c>
      <c r="B55">
        <v>26616470</v>
      </c>
      <c r="C55">
        <v>26616468</v>
      </c>
      <c r="D55">
        <v>25685390</v>
      </c>
      <c r="E55">
        <v>1</v>
      </c>
      <c r="F55">
        <v>1</v>
      </c>
      <c r="G55">
        <v>25674181</v>
      </c>
      <c r="H55">
        <v>2</v>
      </c>
      <c r="I55" t="s">
        <v>297</v>
      </c>
      <c r="J55" t="s">
        <v>298</v>
      </c>
      <c r="K55" t="s">
        <v>299</v>
      </c>
      <c r="L55">
        <v>1368</v>
      </c>
      <c r="N55">
        <v>1011</v>
      </c>
      <c r="O55" t="s">
        <v>300</v>
      </c>
      <c r="P55" t="s">
        <v>300</v>
      </c>
      <c r="Q55">
        <v>1</v>
      </c>
      <c r="X55">
        <v>1.41</v>
      </c>
      <c r="Y55">
        <v>0</v>
      </c>
      <c r="Z55">
        <v>32.82</v>
      </c>
      <c r="AA55">
        <v>6.85</v>
      </c>
      <c r="AB55">
        <v>0</v>
      </c>
      <c r="AC55">
        <v>0</v>
      </c>
      <c r="AD55">
        <v>1</v>
      </c>
      <c r="AE55">
        <v>0</v>
      </c>
      <c r="AG55">
        <v>1.41</v>
      </c>
      <c r="AH55">
        <v>2</v>
      </c>
      <c r="AI55">
        <v>26616470</v>
      </c>
      <c r="AJ55">
        <v>56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ROW(Source!A51)</f>
        <v>51</v>
      </c>
      <c r="B56">
        <v>26616471</v>
      </c>
      <c r="C56">
        <v>26616468</v>
      </c>
      <c r="D56">
        <v>25685711</v>
      </c>
      <c r="E56">
        <v>1</v>
      </c>
      <c r="F56">
        <v>1</v>
      </c>
      <c r="G56">
        <v>25674181</v>
      </c>
      <c r="H56">
        <v>2</v>
      </c>
      <c r="I56" t="s">
        <v>341</v>
      </c>
      <c r="J56" t="s">
        <v>342</v>
      </c>
      <c r="K56" t="s">
        <v>343</v>
      </c>
      <c r="L56">
        <v>1368</v>
      </c>
      <c r="N56">
        <v>1011</v>
      </c>
      <c r="O56" t="s">
        <v>300</v>
      </c>
      <c r="P56" t="s">
        <v>300</v>
      </c>
      <c r="Q56">
        <v>1</v>
      </c>
      <c r="X56">
        <v>0.21</v>
      </c>
      <c r="Y56">
        <v>0</v>
      </c>
      <c r="Z56">
        <v>28.36</v>
      </c>
      <c r="AA56">
        <v>9.49</v>
      </c>
      <c r="AB56">
        <v>0</v>
      </c>
      <c r="AC56">
        <v>0</v>
      </c>
      <c r="AD56">
        <v>1</v>
      </c>
      <c r="AE56">
        <v>0</v>
      </c>
      <c r="AG56">
        <v>0.21</v>
      </c>
      <c r="AH56">
        <v>2</v>
      </c>
      <c r="AI56">
        <v>26616471</v>
      </c>
      <c r="AJ56">
        <v>57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ROW(Source!A51)</f>
        <v>51</v>
      </c>
      <c r="B57">
        <v>26616473</v>
      </c>
      <c r="C57">
        <v>26616468</v>
      </c>
      <c r="D57">
        <v>25686794</v>
      </c>
      <c r="E57">
        <v>1</v>
      </c>
      <c r="F57">
        <v>1</v>
      </c>
      <c r="G57">
        <v>25674181</v>
      </c>
      <c r="H57">
        <v>3</v>
      </c>
      <c r="I57" t="s">
        <v>314</v>
      </c>
      <c r="J57" t="s">
        <v>315</v>
      </c>
      <c r="K57" t="s">
        <v>316</v>
      </c>
      <c r="L57">
        <v>1348</v>
      </c>
      <c r="N57">
        <v>1013</v>
      </c>
      <c r="O57" t="s">
        <v>67</v>
      </c>
      <c r="P57" t="s">
        <v>67</v>
      </c>
      <c r="Q57">
        <v>1</v>
      </c>
      <c r="X57">
        <v>0.008</v>
      </c>
      <c r="Y57">
        <v>85160.23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0.008</v>
      </c>
      <c r="AH57">
        <v>2</v>
      </c>
      <c r="AI57">
        <v>26616473</v>
      </c>
      <c r="AJ57">
        <v>58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ROW(Source!A51)</f>
        <v>51</v>
      </c>
      <c r="B58">
        <v>26616472</v>
      </c>
      <c r="C58">
        <v>26616468</v>
      </c>
      <c r="D58">
        <v>25685895</v>
      </c>
      <c r="E58">
        <v>1</v>
      </c>
      <c r="F58">
        <v>1</v>
      </c>
      <c r="G58">
        <v>25674181</v>
      </c>
      <c r="H58">
        <v>3</v>
      </c>
      <c r="I58" t="s">
        <v>344</v>
      </c>
      <c r="J58" t="s">
        <v>345</v>
      </c>
      <c r="K58" t="s">
        <v>346</v>
      </c>
      <c r="L58">
        <v>1348</v>
      </c>
      <c r="N58">
        <v>1013</v>
      </c>
      <c r="O58" t="s">
        <v>67</v>
      </c>
      <c r="P58" t="s">
        <v>67</v>
      </c>
      <c r="Q58">
        <v>1</v>
      </c>
      <c r="X58">
        <v>0.00269</v>
      </c>
      <c r="Y58">
        <v>18733.8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0.00269</v>
      </c>
      <c r="AH58">
        <v>2</v>
      </c>
      <c r="AI58">
        <v>26616472</v>
      </c>
      <c r="AJ58">
        <v>59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ROW(Source!A51)</f>
        <v>51</v>
      </c>
      <c r="B59">
        <v>26616474</v>
      </c>
      <c r="C59">
        <v>26616468</v>
      </c>
      <c r="D59">
        <v>25687630</v>
      </c>
      <c r="E59">
        <v>1</v>
      </c>
      <c r="F59">
        <v>1</v>
      </c>
      <c r="G59">
        <v>25674181</v>
      </c>
      <c r="H59">
        <v>3</v>
      </c>
      <c r="I59" t="s">
        <v>304</v>
      </c>
      <c r="J59" t="s">
        <v>305</v>
      </c>
      <c r="K59" t="s">
        <v>306</v>
      </c>
      <c r="L59">
        <v>1348</v>
      </c>
      <c r="N59">
        <v>1013</v>
      </c>
      <c r="O59" t="s">
        <v>67</v>
      </c>
      <c r="P59" t="s">
        <v>67</v>
      </c>
      <c r="Q59">
        <v>1</v>
      </c>
      <c r="X59">
        <v>0.00033</v>
      </c>
      <c r="Y59">
        <v>109898.69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0.00033</v>
      </c>
      <c r="AH59">
        <v>2</v>
      </c>
      <c r="AI59">
        <v>26616474</v>
      </c>
      <c r="AJ59">
        <v>60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ROW(Source!A51)</f>
        <v>51</v>
      </c>
      <c r="B60">
        <v>26616475</v>
      </c>
      <c r="C60">
        <v>26616468</v>
      </c>
      <c r="D60">
        <v>25687974</v>
      </c>
      <c r="E60">
        <v>1</v>
      </c>
      <c r="F60">
        <v>1</v>
      </c>
      <c r="G60">
        <v>25674181</v>
      </c>
      <c r="H60">
        <v>3</v>
      </c>
      <c r="I60" t="s">
        <v>320</v>
      </c>
      <c r="J60" t="s">
        <v>321</v>
      </c>
      <c r="K60" t="s">
        <v>322</v>
      </c>
      <c r="L60">
        <v>1348</v>
      </c>
      <c r="N60">
        <v>1013</v>
      </c>
      <c r="O60" t="s">
        <v>67</v>
      </c>
      <c r="P60" t="s">
        <v>67</v>
      </c>
      <c r="Q60">
        <v>1</v>
      </c>
      <c r="X60">
        <v>0.00991</v>
      </c>
      <c r="Y60">
        <v>142669.85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0.00991</v>
      </c>
      <c r="AH60">
        <v>2</v>
      </c>
      <c r="AI60">
        <v>26616475</v>
      </c>
      <c r="AJ60">
        <v>61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ROW(Source!A51)</f>
        <v>51</v>
      </c>
      <c r="B61">
        <v>26616476</v>
      </c>
      <c r="C61">
        <v>26616468</v>
      </c>
      <c r="D61">
        <v>25688067</v>
      </c>
      <c r="E61">
        <v>1</v>
      </c>
      <c r="F61">
        <v>1</v>
      </c>
      <c r="G61">
        <v>25674181</v>
      </c>
      <c r="H61">
        <v>3</v>
      </c>
      <c r="I61" t="s">
        <v>347</v>
      </c>
      <c r="J61" t="s">
        <v>348</v>
      </c>
      <c r="K61" t="s">
        <v>349</v>
      </c>
      <c r="L61">
        <v>1348</v>
      </c>
      <c r="N61">
        <v>1013</v>
      </c>
      <c r="O61" t="s">
        <v>67</v>
      </c>
      <c r="P61" t="s">
        <v>67</v>
      </c>
      <c r="Q61">
        <v>1</v>
      </c>
      <c r="X61">
        <v>0.0011</v>
      </c>
      <c r="Y61">
        <v>165838.61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0.0011</v>
      </c>
      <c r="AH61">
        <v>2</v>
      </c>
      <c r="AI61">
        <v>26616476</v>
      </c>
      <c r="AJ61">
        <v>62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ROW(Source!A51)</f>
        <v>51</v>
      </c>
      <c r="B62">
        <v>26616477</v>
      </c>
      <c r="C62">
        <v>26616468</v>
      </c>
      <c r="D62">
        <v>25675233</v>
      </c>
      <c r="E62">
        <v>25674181</v>
      </c>
      <c r="F62">
        <v>1</v>
      </c>
      <c r="G62">
        <v>25674181</v>
      </c>
      <c r="H62">
        <v>3</v>
      </c>
      <c r="I62" t="s">
        <v>425</v>
      </c>
      <c r="K62" t="s">
        <v>426</v>
      </c>
      <c r="L62">
        <v>1354</v>
      </c>
      <c r="N62">
        <v>1013</v>
      </c>
      <c r="O62" t="s">
        <v>17</v>
      </c>
      <c r="P62" t="s">
        <v>17</v>
      </c>
      <c r="Q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G62">
        <v>0</v>
      </c>
      <c r="AH62">
        <v>3</v>
      </c>
      <c r="AI62">
        <v>-1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ROW(Source!A51)</f>
        <v>51</v>
      </c>
      <c r="B63">
        <v>26616478</v>
      </c>
      <c r="C63">
        <v>26616468</v>
      </c>
      <c r="D63">
        <v>25675221</v>
      </c>
      <c r="E63">
        <v>25674181</v>
      </c>
      <c r="F63">
        <v>1</v>
      </c>
      <c r="G63">
        <v>25674181</v>
      </c>
      <c r="H63">
        <v>3</v>
      </c>
      <c r="I63" t="s">
        <v>427</v>
      </c>
      <c r="K63" t="s">
        <v>428</v>
      </c>
      <c r="L63">
        <v>1327</v>
      </c>
      <c r="N63">
        <v>1013</v>
      </c>
      <c r="O63" t="s">
        <v>85</v>
      </c>
      <c r="P63" t="s">
        <v>85</v>
      </c>
      <c r="Q63">
        <v>1</v>
      </c>
      <c r="X63">
        <v>100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G63">
        <v>100</v>
      </c>
      <c r="AH63">
        <v>3</v>
      </c>
      <c r="AI63">
        <v>-1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ROW(Source!A51)</f>
        <v>51</v>
      </c>
      <c r="B64">
        <v>26616479</v>
      </c>
      <c r="C64">
        <v>26616468</v>
      </c>
      <c r="D64">
        <v>25675231</v>
      </c>
      <c r="E64">
        <v>25674181</v>
      </c>
      <c r="F64">
        <v>1</v>
      </c>
      <c r="G64">
        <v>25674181</v>
      </c>
      <c r="H64">
        <v>3</v>
      </c>
      <c r="I64" t="s">
        <v>429</v>
      </c>
      <c r="K64" t="s">
        <v>430</v>
      </c>
      <c r="L64">
        <v>1354</v>
      </c>
      <c r="N64">
        <v>1013</v>
      </c>
      <c r="O64" t="s">
        <v>17</v>
      </c>
      <c r="P64" t="s">
        <v>17</v>
      </c>
      <c r="Q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G64">
        <v>0</v>
      </c>
      <c r="AH64">
        <v>3</v>
      </c>
      <c r="AI64">
        <v>-1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ROW(Source!A51)</f>
        <v>51</v>
      </c>
      <c r="B65">
        <v>26616480</v>
      </c>
      <c r="C65">
        <v>26616468</v>
      </c>
      <c r="D65">
        <v>25675227</v>
      </c>
      <c r="E65">
        <v>25674181</v>
      </c>
      <c r="F65">
        <v>1</v>
      </c>
      <c r="G65">
        <v>25674181</v>
      </c>
      <c r="H65">
        <v>3</v>
      </c>
      <c r="I65" t="s">
        <v>431</v>
      </c>
      <c r="K65" t="s">
        <v>432</v>
      </c>
      <c r="L65">
        <v>1346</v>
      </c>
      <c r="N65">
        <v>1013</v>
      </c>
      <c r="O65" t="s">
        <v>140</v>
      </c>
      <c r="P65" t="s">
        <v>140</v>
      </c>
      <c r="Q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G65">
        <v>0</v>
      </c>
      <c r="AH65">
        <v>3</v>
      </c>
      <c r="AI65">
        <v>-1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ROW(Source!A51)</f>
        <v>51</v>
      </c>
      <c r="B66">
        <v>26616481</v>
      </c>
      <c r="C66">
        <v>26616468</v>
      </c>
      <c r="D66">
        <v>25675225</v>
      </c>
      <c r="E66">
        <v>25674181</v>
      </c>
      <c r="F66">
        <v>1</v>
      </c>
      <c r="G66">
        <v>25674181</v>
      </c>
      <c r="H66">
        <v>3</v>
      </c>
      <c r="I66" t="s">
        <v>433</v>
      </c>
      <c r="K66" t="s">
        <v>434</v>
      </c>
      <c r="L66">
        <v>1327</v>
      </c>
      <c r="N66">
        <v>1013</v>
      </c>
      <c r="O66" t="s">
        <v>85</v>
      </c>
      <c r="P66" t="s">
        <v>85</v>
      </c>
      <c r="Q66">
        <v>1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G66">
        <v>0</v>
      </c>
      <c r="AH66">
        <v>3</v>
      </c>
      <c r="AI66">
        <v>-1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ROW(Source!A51)</f>
        <v>51</v>
      </c>
      <c r="B67">
        <v>26616482</v>
      </c>
      <c r="C67">
        <v>26616468</v>
      </c>
      <c r="D67">
        <v>25675223</v>
      </c>
      <c r="E67">
        <v>25674181</v>
      </c>
      <c r="F67">
        <v>1</v>
      </c>
      <c r="G67">
        <v>25674181</v>
      </c>
      <c r="H67">
        <v>3</v>
      </c>
      <c r="I67" t="s">
        <v>423</v>
      </c>
      <c r="K67" t="s">
        <v>435</v>
      </c>
      <c r="L67">
        <v>1354</v>
      </c>
      <c r="N67">
        <v>1013</v>
      </c>
      <c r="O67" t="s">
        <v>17</v>
      </c>
      <c r="P67" t="s">
        <v>17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G67">
        <v>0</v>
      </c>
      <c r="AH67">
        <v>3</v>
      </c>
      <c r="AI67">
        <v>-1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ROW(Source!A55)</f>
        <v>55</v>
      </c>
      <c r="B68">
        <v>26616496</v>
      </c>
      <c r="C68">
        <v>26616495</v>
      </c>
      <c r="D68">
        <v>25674184</v>
      </c>
      <c r="E68">
        <v>25674181</v>
      </c>
      <c r="F68">
        <v>1</v>
      </c>
      <c r="G68">
        <v>25674181</v>
      </c>
      <c r="H68">
        <v>1</v>
      </c>
      <c r="I68" t="s">
        <v>291</v>
      </c>
      <c r="K68" t="s">
        <v>292</v>
      </c>
      <c r="L68">
        <v>1191</v>
      </c>
      <c r="N68">
        <v>1013</v>
      </c>
      <c r="O68" t="s">
        <v>293</v>
      </c>
      <c r="P68" t="s">
        <v>293</v>
      </c>
      <c r="Q68">
        <v>1</v>
      </c>
      <c r="X68">
        <v>126.5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1</v>
      </c>
      <c r="AG68">
        <v>126.5</v>
      </c>
      <c r="AH68">
        <v>2</v>
      </c>
      <c r="AI68">
        <v>26616496</v>
      </c>
      <c r="AJ68">
        <v>66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ROW(Source!A55)</f>
        <v>55</v>
      </c>
      <c r="B69">
        <v>26616497</v>
      </c>
      <c r="C69">
        <v>26616495</v>
      </c>
      <c r="D69">
        <v>25685390</v>
      </c>
      <c r="E69">
        <v>1</v>
      </c>
      <c r="F69">
        <v>1</v>
      </c>
      <c r="G69">
        <v>25674181</v>
      </c>
      <c r="H69">
        <v>2</v>
      </c>
      <c r="I69" t="s">
        <v>297</v>
      </c>
      <c r="J69" t="s">
        <v>298</v>
      </c>
      <c r="K69" t="s">
        <v>299</v>
      </c>
      <c r="L69">
        <v>1368</v>
      </c>
      <c r="N69">
        <v>1011</v>
      </c>
      <c r="O69" t="s">
        <v>300</v>
      </c>
      <c r="P69" t="s">
        <v>300</v>
      </c>
      <c r="Q69">
        <v>1</v>
      </c>
      <c r="X69">
        <v>1.41</v>
      </c>
      <c r="Y69">
        <v>0</v>
      </c>
      <c r="Z69">
        <v>32.82</v>
      </c>
      <c r="AA69">
        <v>6.85</v>
      </c>
      <c r="AB69">
        <v>0</v>
      </c>
      <c r="AC69">
        <v>0</v>
      </c>
      <c r="AD69">
        <v>1</v>
      </c>
      <c r="AE69">
        <v>0</v>
      </c>
      <c r="AG69">
        <v>1.41</v>
      </c>
      <c r="AH69">
        <v>2</v>
      </c>
      <c r="AI69">
        <v>26616497</v>
      </c>
      <c r="AJ69">
        <v>67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ROW(Source!A55)</f>
        <v>55</v>
      </c>
      <c r="B70">
        <v>26616498</v>
      </c>
      <c r="C70">
        <v>26616495</v>
      </c>
      <c r="D70">
        <v>25685711</v>
      </c>
      <c r="E70">
        <v>1</v>
      </c>
      <c r="F70">
        <v>1</v>
      </c>
      <c r="G70">
        <v>25674181</v>
      </c>
      <c r="H70">
        <v>2</v>
      </c>
      <c r="I70" t="s">
        <v>341</v>
      </c>
      <c r="J70" t="s">
        <v>342</v>
      </c>
      <c r="K70" t="s">
        <v>343</v>
      </c>
      <c r="L70">
        <v>1368</v>
      </c>
      <c r="N70">
        <v>1011</v>
      </c>
      <c r="O70" t="s">
        <v>300</v>
      </c>
      <c r="P70" t="s">
        <v>300</v>
      </c>
      <c r="Q70">
        <v>1</v>
      </c>
      <c r="X70">
        <v>0.21</v>
      </c>
      <c r="Y70">
        <v>0</v>
      </c>
      <c r="Z70">
        <v>28.36</v>
      </c>
      <c r="AA70">
        <v>9.49</v>
      </c>
      <c r="AB70">
        <v>0</v>
      </c>
      <c r="AC70">
        <v>0</v>
      </c>
      <c r="AD70">
        <v>1</v>
      </c>
      <c r="AE70">
        <v>0</v>
      </c>
      <c r="AG70">
        <v>0.21</v>
      </c>
      <c r="AH70">
        <v>2</v>
      </c>
      <c r="AI70">
        <v>26616498</v>
      </c>
      <c r="AJ70">
        <v>68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ROW(Source!A55)</f>
        <v>55</v>
      </c>
      <c r="B71">
        <v>26616500</v>
      </c>
      <c r="C71">
        <v>26616495</v>
      </c>
      <c r="D71">
        <v>25686794</v>
      </c>
      <c r="E71">
        <v>1</v>
      </c>
      <c r="F71">
        <v>1</v>
      </c>
      <c r="G71">
        <v>25674181</v>
      </c>
      <c r="H71">
        <v>3</v>
      </c>
      <c r="I71" t="s">
        <v>314</v>
      </c>
      <c r="J71" t="s">
        <v>315</v>
      </c>
      <c r="K71" t="s">
        <v>316</v>
      </c>
      <c r="L71">
        <v>1348</v>
      </c>
      <c r="N71">
        <v>1013</v>
      </c>
      <c r="O71" t="s">
        <v>67</v>
      </c>
      <c r="P71" t="s">
        <v>67</v>
      </c>
      <c r="Q71">
        <v>1</v>
      </c>
      <c r="X71">
        <v>0.008</v>
      </c>
      <c r="Y71">
        <v>85160.23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0.008</v>
      </c>
      <c r="AH71">
        <v>2</v>
      </c>
      <c r="AI71">
        <v>26616500</v>
      </c>
      <c r="AJ71">
        <v>69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ROW(Source!A55)</f>
        <v>55</v>
      </c>
      <c r="B72">
        <v>26616499</v>
      </c>
      <c r="C72">
        <v>26616495</v>
      </c>
      <c r="D72">
        <v>25685895</v>
      </c>
      <c r="E72">
        <v>1</v>
      </c>
      <c r="F72">
        <v>1</v>
      </c>
      <c r="G72">
        <v>25674181</v>
      </c>
      <c r="H72">
        <v>3</v>
      </c>
      <c r="I72" t="s">
        <v>344</v>
      </c>
      <c r="J72" t="s">
        <v>345</v>
      </c>
      <c r="K72" t="s">
        <v>346</v>
      </c>
      <c r="L72">
        <v>1348</v>
      </c>
      <c r="N72">
        <v>1013</v>
      </c>
      <c r="O72" t="s">
        <v>67</v>
      </c>
      <c r="P72" t="s">
        <v>67</v>
      </c>
      <c r="Q72">
        <v>1</v>
      </c>
      <c r="X72">
        <v>0.00269</v>
      </c>
      <c r="Y72">
        <v>18733.8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0.00269</v>
      </c>
      <c r="AH72">
        <v>2</v>
      </c>
      <c r="AI72">
        <v>26616499</v>
      </c>
      <c r="AJ72">
        <v>70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ROW(Source!A55)</f>
        <v>55</v>
      </c>
      <c r="B73">
        <v>26616501</v>
      </c>
      <c r="C73">
        <v>26616495</v>
      </c>
      <c r="D73">
        <v>25687630</v>
      </c>
      <c r="E73">
        <v>1</v>
      </c>
      <c r="F73">
        <v>1</v>
      </c>
      <c r="G73">
        <v>25674181</v>
      </c>
      <c r="H73">
        <v>3</v>
      </c>
      <c r="I73" t="s">
        <v>304</v>
      </c>
      <c r="J73" t="s">
        <v>305</v>
      </c>
      <c r="K73" t="s">
        <v>306</v>
      </c>
      <c r="L73">
        <v>1348</v>
      </c>
      <c r="N73">
        <v>1013</v>
      </c>
      <c r="O73" t="s">
        <v>67</v>
      </c>
      <c r="P73" t="s">
        <v>67</v>
      </c>
      <c r="Q73">
        <v>1</v>
      </c>
      <c r="X73">
        <v>0.00033</v>
      </c>
      <c r="Y73">
        <v>109898.69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0.00033</v>
      </c>
      <c r="AH73">
        <v>2</v>
      </c>
      <c r="AI73">
        <v>26616501</v>
      </c>
      <c r="AJ73">
        <v>71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ROW(Source!A55)</f>
        <v>55</v>
      </c>
      <c r="B74">
        <v>26616502</v>
      </c>
      <c r="C74">
        <v>26616495</v>
      </c>
      <c r="D74">
        <v>25687974</v>
      </c>
      <c r="E74">
        <v>1</v>
      </c>
      <c r="F74">
        <v>1</v>
      </c>
      <c r="G74">
        <v>25674181</v>
      </c>
      <c r="H74">
        <v>3</v>
      </c>
      <c r="I74" t="s">
        <v>320</v>
      </c>
      <c r="J74" t="s">
        <v>321</v>
      </c>
      <c r="K74" t="s">
        <v>322</v>
      </c>
      <c r="L74">
        <v>1348</v>
      </c>
      <c r="N74">
        <v>1013</v>
      </c>
      <c r="O74" t="s">
        <v>67</v>
      </c>
      <c r="P74" t="s">
        <v>67</v>
      </c>
      <c r="Q74">
        <v>1</v>
      </c>
      <c r="X74">
        <v>0.00991</v>
      </c>
      <c r="Y74">
        <v>142669.85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0.00991</v>
      </c>
      <c r="AH74">
        <v>2</v>
      </c>
      <c r="AI74">
        <v>26616502</v>
      </c>
      <c r="AJ74">
        <v>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ROW(Source!A55)</f>
        <v>55</v>
      </c>
      <c r="B75">
        <v>26616503</v>
      </c>
      <c r="C75">
        <v>26616495</v>
      </c>
      <c r="D75">
        <v>25688067</v>
      </c>
      <c r="E75">
        <v>1</v>
      </c>
      <c r="F75">
        <v>1</v>
      </c>
      <c r="G75">
        <v>25674181</v>
      </c>
      <c r="H75">
        <v>3</v>
      </c>
      <c r="I75" t="s">
        <v>347</v>
      </c>
      <c r="J75" t="s">
        <v>348</v>
      </c>
      <c r="K75" t="s">
        <v>349</v>
      </c>
      <c r="L75">
        <v>1348</v>
      </c>
      <c r="N75">
        <v>1013</v>
      </c>
      <c r="O75" t="s">
        <v>67</v>
      </c>
      <c r="P75" t="s">
        <v>67</v>
      </c>
      <c r="Q75">
        <v>1</v>
      </c>
      <c r="X75">
        <v>0.0011</v>
      </c>
      <c r="Y75">
        <v>165838.61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0.0011</v>
      </c>
      <c r="AH75">
        <v>2</v>
      </c>
      <c r="AI75">
        <v>26616503</v>
      </c>
      <c r="AJ75">
        <v>73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ROW(Source!A55)</f>
        <v>55</v>
      </c>
      <c r="B76">
        <v>26616504</v>
      </c>
      <c r="C76">
        <v>26616495</v>
      </c>
      <c r="D76">
        <v>25675233</v>
      </c>
      <c r="E76">
        <v>25674181</v>
      </c>
      <c r="F76">
        <v>1</v>
      </c>
      <c r="G76">
        <v>25674181</v>
      </c>
      <c r="H76">
        <v>3</v>
      </c>
      <c r="I76" t="s">
        <v>425</v>
      </c>
      <c r="K76" t="s">
        <v>426</v>
      </c>
      <c r="L76">
        <v>1354</v>
      </c>
      <c r="N76">
        <v>1013</v>
      </c>
      <c r="O76" t="s">
        <v>17</v>
      </c>
      <c r="P76" t="s">
        <v>17</v>
      </c>
      <c r="Q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G76">
        <v>0</v>
      </c>
      <c r="AH76">
        <v>3</v>
      </c>
      <c r="AI76">
        <v>-1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ROW(Source!A55)</f>
        <v>55</v>
      </c>
      <c r="B77">
        <v>26616505</v>
      </c>
      <c r="C77">
        <v>26616495</v>
      </c>
      <c r="D77">
        <v>25675221</v>
      </c>
      <c r="E77">
        <v>25674181</v>
      </c>
      <c r="F77">
        <v>1</v>
      </c>
      <c r="G77">
        <v>25674181</v>
      </c>
      <c r="H77">
        <v>3</v>
      </c>
      <c r="I77" t="s">
        <v>427</v>
      </c>
      <c r="K77" t="s">
        <v>428</v>
      </c>
      <c r="L77">
        <v>1327</v>
      </c>
      <c r="N77">
        <v>1013</v>
      </c>
      <c r="O77" t="s">
        <v>85</v>
      </c>
      <c r="P77" t="s">
        <v>85</v>
      </c>
      <c r="Q77">
        <v>1</v>
      </c>
      <c r="X77">
        <v>100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G77">
        <v>100</v>
      </c>
      <c r="AH77">
        <v>3</v>
      </c>
      <c r="AI77">
        <v>-1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ROW(Source!A55)</f>
        <v>55</v>
      </c>
      <c r="B78">
        <v>26616506</v>
      </c>
      <c r="C78">
        <v>26616495</v>
      </c>
      <c r="D78">
        <v>25675231</v>
      </c>
      <c r="E78">
        <v>25674181</v>
      </c>
      <c r="F78">
        <v>1</v>
      </c>
      <c r="G78">
        <v>25674181</v>
      </c>
      <c r="H78">
        <v>3</v>
      </c>
      <c r="I78" t="s">
        <v>429</v>
      </c>
      <c r="K78" t="s">
        <v>430</v>
      </c>
      <c r="L78">
        <v>1354</v>
      </c>
      <c r="N78">
        <v>1013</v>
      </c>
      <c r="O78" t="s">
        <v>17</v>
      </c>
      <c r="P78" t="s">
        <v>17</v>
      </c>
      <c r="Q78">
        <v>1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G78">
        <v>0</v>
      </c>
      <c r="AH78">
        <v>3</v>
      </c>
      <c r="AI78">
        <v>-1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ROW(Source!A55)</f>
        <v>55</v>
      </c>
      <c r="B79">
        <v>26616507</v>
      </c>
      <c r="C79">
        <v>26616495</v>
      </c>
      <c r="D79">
        <v>25675227</v>
      </c>
      <c r="E79">
        <v>25674181</v>
      </c>
      <c r="F79">
        <v>1</v>
      </c>
      <c r="G79">
        <v>25674181</v>
      </c>
      <c r="H79">
        <v>3</v>
      </c>
      <c r="I79" t="s">
        <v>431</v>
      </c>
      <c r="K79" t="s">
        <v>432</v>
      </c>
      <c r="L79">
        <v>1346</v>
      </c>
      <c r="N79">
        <v>1013</v>
      </c>
      <c r="O79" t="s">
        <v>140</v>
      </c>
      <c r="P79" t="s">
        <v>140</v>
      </c>
      <c r="Q79">
        <v>1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G79">
        <v>0</v>
      </c>
      <c r="AH79">
        <v>3</v>
      </c>
      <c r="AI79">
        <v>-1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ROW(Source!A55)</f>
        <v>55</v>
      </c>
      <c r="B80">
        <v>26616508</v>
      </c>
      <c r="C80">
        <v>26616495</v>
      </c>
      <c r="D80">
        <v>25675225</v>
      </c>
      <c r="E80">
        <v>25674181</v>
      </c>
      <c r="F80">
        <v>1</v>
      </c>
      <c r="G80">
        <v>25674181</v>
      </c>
      <c r="H80">
        <v>3</v>
      </c>
      <c r="I80" t="s">
        <v>433</v>
      </c>
      <c r="K80" t="s">
        <v>434</v>
      </c>
      <c r="L80">
        <v>1327</v>
      </c>
      <c r="N80">
        <v>1013</v>
      </c>
      <c r="O80" t="s">
        <v>85</v>
      </c>
      <c r="P80" t="s">
        <v>85</v>
      </c>
      <c r="Q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G80">
        <v>0</v>
      </c>
      <c r="AH80">
        <v>3</v>
      </c>
      <c r="AI80">
        <v>-1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ROW(Source!A55)</f>
        <v>55</v>
      </c>
      <c r="B81">
        <v>26616509</v>
      </c>
      <c r="C81">
        <v>26616495</v>
      </c>
      <c r="D81">
        <v>25675223</v>
      </c>
      <c r="E81">
        <v>25674181</v>
      </c>
      <c r="F81">
        <v>1</v>
      </c>
      <c r="G81">
        <v>25674181</v>
      </c>
      <c r="H81">
        <v>3</v>
      </c>
      <c r="I81" t="s">
        <v>423</v>
      </c>
      <c r="K81" t="s">
        <v>435</v>
      </c>
      <c r="L81">
        <v>1354</v>
      </c>
      <c r="N81">
        <v>1013</v>
      </c>
      <c r="O81" t="s">
        <v>17</v>
      </c>
      <c r="P81" t="s">
        <v>17</v>
      </c>
      <c r="Q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G81">
        <v>0</v>
      </c>
      <c r="AH81">
        <v>3</v>
      </c>
      <c r="AI81">
        <v>-1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ROW(Source!A59)</f>
        <v>59</v>
      </c>
      <c r="B82">
        <v>26616619</v>
      </c>
      <c r="C82">
        <v>26616618</v>
      </c>
      <c r="D82">
        <v>25674184</v>
      </c>
      <c r="E82">
        <v>25674181</v>
      </c>
      <c r="F82">
        <v>1</v>
      </c>
      <c r="G82">
        <v>25674181</v>
      </c>
      <c r="H82">
        <v>1</v>
      </c>
      <c r="I82" t="s">
        <v>291</v>
      </c>
      <c r="K82" t="s">
        <v>292</v>
      </c>
      <c r="L82">
        <v>1191</v>
      </c>
      <c r="N82">
        <v>1013</v>
      </c>
      <c r="O82" t="s">
        <v>293</v>
      </c>
      <c r="P82" t="s">
        <v>293</v>
      </c>
      <c r="Q82">
        <v>1</v>
      </c>
      <c r="X82">
        <v>0.58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1</v>
      </c>
      <c r="AG82">
        <v>0.58</v>
      </c>
      <c r="AH82">
        <v>2</v>
      </c>
      <c r="AI82">
        <v>26616619</v>
      </c>
      <c r="AJ82">
        <v>77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ROW(Source!A59)</f>
        <v>59</v>
      </c>
      <c r="B83">
        <v>26616620</v>
      </c>
      <c r="C83">
        <v>26616618</v>
      </c>
      <c r="D83">
        <v>25687825</v>
      </c>
      <c r="E83">
        <v>1</v>
      </c>
      <c r="F83">
        <v>1</v>
      </c>
      <c r="G83">
        <v>25674181</v>
      </c>
      <c r="H83">
        <v>3</v>
      </c>
      <c r="I83" t="s">
        <v>350</v>
      </c>
      <c r="J83" t="s">
        <v>351</v>
      </c>
      <c r="K83" t="s">
        <v>352</v>
      </c>
      <c r="L83">
        <v>1301</v>
      </c>
      <c r="N83">
        <v>1013</v>
      </c>
      <c r="O83" t="s">
        <v>296</v>
      </c>
      <c r="P83" t="s">
        <v>296</v>
      </c>
      <c r="Q83">
        <v>1</v>
      </c>
      <c r="X83">
        <v>2</v>
      </c>
      <c r="Y83">
        <v>36.72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2</v>
      </c>
      <c r="AH83">
        <v>2</v>
      </c>
      <c r="AI83">
        <v>26616620</v>
      </c>
      <c r="AJ83">
        <v>79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ROW(Source!A59)</f>
        <v>59</v>
      </c>
      <c r="B84">
        <v>26616621</v>
      </c>
      <c r="C84">
        <v>26616618</v>
      </c>
      <c r="D84">
        <v>25686203</v>
      </c>
      <c r="E84">
        <v>1</v>
      </c>
      <c r="F84">
        <v>1</v>
      </c>
      <c r="G84">
        <v>25674181</v>
      </c>
      <c r="H84">
        <v>3</v>
      </c>
      <c r="I84" t="s">
        <v>353</v>
      </c>
      <c r="J84" t="s">
        <v>354</v>
      </c>
      <c r="K84" t="s">
        <v>355</v>
      </c>
      <c r="L84">
        <v>1296</v>
      </c>
      <c r="N84">
        <v>1013</v>
      </c>
      <c r="O84" t="s">
        <v>356</v>
      </c>
      <c r="P84" t="s">
        <v>356</v>
      </c>
      <c r="Q84">
        <v>1</v>
      </c>
      <c r="X84">
        <v>0.25</v>
      </c>
      <c r="Y84">
        <v>1212.9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0.25</v>
      </c>
      <c r="AH84">
        <v>2</v>
      </c>
      <c r="AI84">
        <v>26616621</v>
      </c>
      <c r="AJ84">
        <v>81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ROW(Source!A59)</f>
        <v>59</v>
      </c>
      <c r="B85">
        <v>26616622</v>
      </c>
      <c r="C85">
        <v>26616618</v>
      </c>
      <c r="D85">
        <v>25675141</v>
      </c>
      <c r="E85">
        <v>25674181</v>
      </c>
      <c r="F85">
        <v>1</v>
      </c>
      <c r="G85">
        <v>25674181</v>
      </c>
      <c r="H85">
        <v>3</v>
      </c>
      <c r="I85" t="s">
        <v>436</v>
      </c>
      <c r="K85" t="s">
        <v>437</v>
      </c>
      <c r="L85">
        <v>1327</v>
      </c>
      <c r="N85">
        <v>1013</v>
      </c>
      <c r="O85" t="s">
        <v>85</v>
      </c>
      <c r="P85" t="s">
        <v>85</v>
      </c>
      <c r="Q85">
        <v>1</v>
      </c>
      <c r="X85">
        <v>1.05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G85">
        <v>1.05</v>
      </c>
      <c r="AH85">
        <v>3</v>
      </c>
      <c r="AI85">
        <v>-1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ROW(Source!A59)</f>
        <v>59</v>
      </c>
      <c r="B86">
        <v>26616623</v>
      </c>
      <c r="C86">
        <v>26616618</v>
      </c>
      <c r="D86">
        <v>25675139</v>
      </c>
      <c r="E86">
        <v>25674181</v>
      </c>
      <c r="F86">
        <v>1</v>
      </c>
      <c r="G86">
        <v>25674181</v>
      </c>
      <c r="H86">
        <v>3</v>
      </c>
      <c r="I86" t="s">
        <v>438</v>
      </c>
      <c r="K86" t="s">
        <v>439</v>
      </c>
      <c r="L86">
        <v>1296</v>
      </c>
      <c r="N86">
        <v>1013</v>
      </c>
      <c r="O86" t="s">
        <v>356</v>
      </c>
      <c r="P86" t="s">
        <v>356</v>
      </c>
      <c r="Q86">
        <v>1</v>
      </c>
      <c r="X86">
        <v>0.2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G86">
        <v>0.2</v>
      </c>
      <c r="AH86">
        <v>3</v>
      </c>
      <c r="AI86">
        <v>-1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ROW(Source!A62)</f>
        <v>62</v>
      </c>
      <c r="B87">
        <v>26616009</v>
      </c>
      <c r="C87">
        <v>26616002</v>
      </c>
      <c r="D87">
        <v>25674184</v>
      </c>
      <c r="E87">
        <v>25674181</v>
      </c>
      <c r="F87">
        <v>1</v>
      </c>
      <c r="G87">
        <v>25674181</v>
      </c>
      <c r="H87">
        <v>1</v>
      </c>
      <c r="I87" t="s">
        <v>291</v>
      </c>
      <c r="K87" t="s">
        <v>292</v>
      </c>
      <c r="L87">
        <v>1191</v>
      </c>
      <c r="N87">
        <v>1013</v>
      </c>
      <c r="O87" t="s">
        <v>293</v>
      </c>
      <c r="P87" t="s">
        <v>293</v>
      </c>
      <c r="Q87">
        <v>1</v>
      </c>
      <c r="X87">
        <v>1.99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1</v>
      </c>
      <c r="AG87">
        <v>1.99</v>
      </c>
      <c r="AH87">
        <v>2</v>
      </c>
      <c r="AI87">
        <v>26616003</v>
      </c>
      <c r="AJ87">
        <v>82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ROW(Source!A62)</f>
        <v>62</v>
      </c>
      <c r="B88">
        <v>26616010</v>
      </c>
      <c r="C88">
        <v>26616002</v>
      </c>
      <c r="D88">
        <v>25685390</v>
      </c>
      <c r="E88">
        <v>1</v>
      </c>
      <c r="F88">
        <v>1</v>
      </c>
      <c r="G88">
        <v>25674181</v>
      </c>
      <c r="H88">
        <v>2</v>
      </c>
      <c r="I88" t="s">
        <v>297</v>
      </c>
      <c r="J88" t="s">
        <v>298</v>
      </c>
      <c r="K88" t="s">
        <v>299</v>
      </c>
      <c r="L88">
        <v>1368</v>
      </c>
      <c r="N88">
        <v>1011</v>
      </c>
      <c r="O88" t="s">
        <v>300</v>
      </c>
      <c r="P88" t="s">
        <v>300</v>
      </c>
      <c r="Q88">
        <v>1</v>
      </c>
      <c r="X88">
        <v>0.15</v>
      </c>
      <c r="Y88">
        <v>0</v>
      </c>
      <c r="Z88">
        <v>32.82</v>
      </c>
      <c r="AA88">
        <v>6.85</v>
      </c>
      <c r="AB88">
        <v>0</v>
      </c>
      <c r="AC88">
        <v>0</v>
      </c>
      <c r="AD88">
        <v>1</v>
      </c>
      <c r="AE88">
        <v>0</v>
      </c>
      <c r="AG88">
        <v>0.15</v>
      </c>
      <c r="AH88">
        <v>2</v>
      </c>
      <c r="AI88">
        <v>26616004</v>
      </c>
      <c r="AJ88">
        <v>83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ROW(Source!A62)</f>
        <v>62</v>
      </c>
      <c r="B89">
        <v>26616011</v>
      </c>
      <c r="C89">
        <v>26616002</v>
      </c>
      <c r="D89">
        <v>25686794</v>
      </c>
      <c r="E89">
        <v>1</v>
      </c>
      <c r="F89">
        <v>1</v>
      </c>
      <c r="G89">
        <v>25674181</v>
      </c>
      <c r="H89">
        <v>3</v>
      </c>
      <c r="I89" t="s">
        <v>314</v>
      </c>
      <c r="J89" t="s">
        <v>315</v>
      </c>
      <c r="K89" t="s">
        <v>316</v>
      </c>
      <c r="L89">
        <v>1348</v>
      </c>
      <c r="N89">
        <v>1013</v>
      </c>
      <c r="O89" t="s">
        <v>67</v>
      </c>
      <c r="P89" t="s">
        <v>67</v>
      </c>
      <c r="Q89">
        <v>1</v>
      </c>
      <c r="X89">
        <v>0.00071</v>
      </c>
      <c r="Y89">
        <v>85160.23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0.00071</v>
      </c>
      <c r="AH89">
        <v>2</v>
      </c>
      <c r="AI89">
        <v>26616005</v>
      </c>
      <c r="AJ89">
        <v>84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ROW(Source!A62)</f>
        <v>62</v>
      </c>
      <c r="B90">
        <v>26616012</v>
      </c>
      <c r="C90">
        <v>26616002</v>
      </c>
      <c r="D90">
        <v>25687630</v>
      </c>
      <c r="E90">
        <v>1</v>
      </c>
      <c r="F90">
        <v>1</v>
      </c>
      <c r="G90">
        <v>25674181</v>
      </c>
      <c r="H90">
        <v>3</v>
      </c>
      <c r="I90" t="s">
        <v>304</v>
      </c>
      <c r="J90" t="s">
        <v>305</v>
      </c>
      <c r="K90" t="s">
        <v>306</v>
      </c>
      <c r="L90">
        <v>1348</v>
      </c>
      <c r="N90">
        <v>1013</v>
      </c>
      <c r="O90" t="s">
        <v>67</v>
      </c>
      <c r="P90" t="s">
        <v>67</v>
      </c>
      <c r="Q90">
        <v>1</v>
      </c>
      <c r="X90">
        <v>0.00016</v>
      </c>
      <c r="Y90">
        <v>109898.69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0.00016</v>
      </c>
      <c r="AH90">
        <v>2</v>
      </c>
      <c r="AI90">
        <v>26616006</v>
      </c>
      <c r="AJ90">
        <v>85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ROW(Source!A62)</f>
        <v>62</v>
      </c>
      <c r="B91">
        <v>26616013</v>
      </c>
      <c r="C91">
        <v>26616002</v>
      </c>
      <c r="D91">
        <v>25692934</v>
      </c>
      <c r="E91">
        <v>1</v>
      </c>
      <c r="F91">
        <v>1</v>
      </c>
      <c r="G91">
        <v>25674181</v>
      </c>
      <c r="H91">
        <v>3</v>
      </c>
      <c r="I91" t="s">
        <v>155</v>
      </c>
      <c r="J91" t="s">
        <v>157</v>
      </c>
      <c r="K91" t="s">
        <v>357</v>
      </c>
      <c r="L91">
        <v>1354</v>
      </c>
      <c r="N91">
        <v>1013</v>
      </c>
      <c r="O91" t="s">
        <v>17</v>
      </c>
      <c r="P91" t="s">
        <v>17</v>
      </c>
      <c r="Q91">
        <v>1</v>
      </c>
      <c r="X91">
        <v>1</v>
      </c>
      <c r="Y91">
        <v>3019.37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1</v>
      </c>
      <c r="AH91">
        <v>2</v>
      </c>
      <c r="AI91">
        <v>26616007</v>
      </c>
      <c r="AJ91">
        <v>87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ROW(Source!A62)</f>
        <v>62</v>
      </c>
      <c r="B92">
        <v>26616014</v>
      </c>
      <c r="C92">
        <v>26616002</v>
      </c>
      <c r="D92">
        <v>25675143</v>
      </c>
      <c r="E92">
        <v>25674181</v>
      </c>
      <c r="F92">
        <v>1</v>
      </c>
      <c r="G92">
        <v>25674181</v>
      </c>
      <c r="H92">
        <v>3</v>
      </c>
      <c r="I92" t="s">
        <v>431</v>
      </c>
      <c r="K92" t="s">
        <v>440</v>
      </c>
      <c r="L92">
        <v>1346</v>
      </c>
      <c r="N92">
        <v>1013</v>
      </c>
      <c r="O92" t="s">
        <v>140</v>
      </c>
      <c r="P92" t="s">
        <v>140</v>
      </c>
      <c r="Q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G92">
        <v>0</v>
      </c>
      <c r="AH92">
        <v>3</v>
      </c>
      <c r="AI92">
        <v>-1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ROW(Source!A66)</f>
        <v>66</v>
      </c>
      <c r="B93">
        <v>26616023</v>
      </c>
      <c r="C93">
        <v>26616016</v>
      </c>
      <c r="D93">
        <v>25674184</v>
      </c>
      <c r="E93">
        <v>25674181</v>
      </c>
      <c r="F93">
        <v>1</v>
      </c>
      <c r="G93">
        <v>25674181</v>
      </c>
      <c r="H93">
        <v>1</v>
      </c>
      <c r="I93" t="s">
        <v>291</v>
      </c>
      <c r="K93" t="s">
        <v>292</v>
      </c>
      <c r="L93">
        <v>1191</v>
      </c>
      <c r="N93">
        <v>1013</v>
      </c>
      <c r="O93" t="s">
        <v>293</v>
      </c>
      <c r="P93" t="s">
        <v>293</v>
      </c>
      <c r="Q93">
        <v>1</v>
      </c>
      <c r="X93">
        <v>1.99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1</v>
      </c>
      <c r="AG93">
        <v>1.99</v>
      </c>
      <c r="AH93">
        <v>2</v>
      </c>
      <c r="AI93">
        <v>26616017</v>
      </c>
      <c r="AJ93">
        <v>89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ROW(Source!A66)</f>
        <v>66</v>
      </c>
      <c r="B94">
        <v>26616024</v>
      </c>
      <c r="C94">
        <v>26616016</v>
      </c>
      <c r="D94">
        <v>25685390</v>
      </c>
      <c r="E94">
        <v>1</v>
      </c>
      <c r="F94">
        <v>1</v>
      </c>
      <c r="G94">
        <v>25674181</v>
      </c>
      <c r="H94">
        <v>2</v>
      </c>
      <c r="I94" t="s">
        <v>297</v>
      </c>
      <c r="J94" t="s">
        <v>298</v>
      </c>
      <c r="K94" t="s">
        <v>299</v>
      </c>
      <c r="L94">
        <v>1368</v>
      </c>
      <c r="N94">
        <v>1011</v>
      </c>
      <c r="O94" t="s">
        <v>300</v>
      </c>
      <c r="P94" t="s">
        <v>300</v>
      </c>
      <c r="Q94">
        <v>1</v>
      </c>
      <c r="X94">
        <v>0.15</v>
      </c>
      <c r="Y94">
        <v>0</v>
      </c>
      <c r="Z94">
        <v>32.82</v>
      </c>
      <c r="AA94">
        <v>6.85</v>
      </c>
      <c r="AB94">
        <v>0</v>
      </c>
      <c r="AC94">
        <v>0</v>
      </c>
      <c r="AD94">
        <v>1</v>
      </c>
      <c r="AE94">
        <v>0</v>
      </c>
      <c r="AG94">
        <v>0.15</v>
      </c>
      <c r="AH94">
        <v>2</v>
      </c>
      <c r="AI94">
        <v>26616018</v>
      </c>
      <c r="AJ94">
        <v>90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ROW(Source!A66)</f>
        <v>66</v>
      </c>
      <c r="B95">
        <v>26616025</v>
      </c>
      <c r="C95">
        <v>26616016</v>
      </c>
      <c r="D95">
        <v>25686794</v>
      </c>
      <c r="E95">
        <v>1</v>
      </c>
      <c r="F95">
        <v>1</v>
      </c>
      <c r="G95">
        <v>25674181</v>
      </c>
      <c r="H95">
        <v>3</v>
      </c>
      <c r="I95" t="s">
        <v>314</v>
      </c>
      <c r="J95" t="s">
        <v>315</v>
      </c>
      <c r="K95" t="s">
        <v>316</v>
      </c>
      <c r="L95">
        <v>1348</v>
      </c>
      <c r="N95">
        <v>1013</v>
      </c>
      <c r="O95" t="s">
        <v>67</v>
      </c>
      <c r="P95" t="s">
        <v>67</v>
      </c>
      <c r="Q95">
        <v>1</v>
      </c>
      <c r="X95">
        <v>0.00071</v>
      </c>
      <c r="Y95">
        <v>85160.23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0.00071</v>
      </c>
      <c r="AH95">
        <v>2</v>
      </c>
      <c r="AI95">
        <v>26616019</v>
      </c>
      <c r="AJ95">
        <v>91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ROW(Source!A66)</f>
        <v>66</v>
      </c>
      <c r="B96">
        <v>26616026</v>
      </c>
      <c r="C96">
        <v>26616016</v>
      </c>
      <c r="D96">
        <v>25687630</v>
      </c>
      <c r="E96">
        <v>1</v>
      </c>
      <c r="F96">
        <v>1</v>
      </c>
      <c r="G96">
        <v>25674181</v>
      </c>
      <c r="H96">
        <v>3</v>
      </c>
      <c r="I96" t="s">
        <v>304</v>
      </c>
      <c r="J96" t="s">
        <v>305</v>
      </c>
      <c r="K96" t="s">
        <v>306</v>
      </c>
      <c r="L96">
        <v>1348</v>
      </c>
      <c r="N96">
        <v>1013</v>
      </c>
      <c r="O96" t="s">
        <v>67</v>
      </c>
      <c r="P96" t="s">
        <v>67</v>
      </c>
      <c r="Q96">
        <v>1</v>
      </c>
      <c r="X96">
        <v>0.00016</v>
      </c>
      <c r="Y96">
        <v>109898.69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0.00016</v>
      </c>
      <c r="AH96">
        <v>2</v>
      </c>
      <c r="AI96">
        <v>26616020</v>
      </c>
      <c r="AJ96">
        <v>92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ROW(Source!A66)</f>
        <v>66</v>
      </c>
      <c r="B97">
        <v>26616027</v>
      </c>
      <c r="C97">
        <v>26616016</v>
      </c>
      <c r="D97">
        <v>25692934</v>
      </c>
      <c r="E97">
        <v>1</v>
      </c>
      <c r="F97">
        <v>1</v>
      </c>
      <c r="G97">
        <v>25674181</v>
      </c>
      <c r="H97">
        <v>3</v>
      </c>
      <c r="I97" t="s">
        <v>155</v>
      </c>
      <c r="J97" t="s">
        <v>157</v>
      </c>
      <c r="K97" t="s">
        <v>357</v>
      </c>
      <c r="L97">
        <v>1354</v>
      </c>
      <c r="N97">
        <v>1013</v>
      </c>
      <c r="O97" t="s">
        <v>17</v>
      </c>
      <c r="P97" t="s">
        <v>17</v>
      </c>
      <c r="Q97">
        <v>1</v>
      </c>
      <c r="X97">
        <v>1</v>
      </c>
      <c r="Y97">
        <v>3019.37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1</v>
      </c>
      <c r="AH97">
        <v>2</v>
      </c>
      <c r="AI97">
        <v>26616021</v>
      </c>
      <c r="AJ97">
        <v>94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ROW(Source!A66)</f>
        <v>66</v>
      </c>
      <c r="B98">
        <v>26616028</v>
      </c>
      <c r="C98">
        <v>26616016</v>
      </c>
      <c r="D98">
        <v>25675143</v>
      </c>
      <c r="E98">
        <v>25674181</v>
      </c>
      <c r="F98">
        <v>1</v>
      </c>
      <c r="G98">
        <v>25674181</v>
      </c>
      <c r="H98">
        <v>3</v>
      </c>
      <c r="I98" t="s">
        <v>431</v>
      </c>
      <c r="K98" t="s">
        <v>440</v>
      </c>
      <c r="L98">
        <v>1346</v>
      </c>
      <c r="N98">
        <v>1013</v>
      </c>
      <c r="O98" t="s">
        <v>140</v>
      </c>
      <c r="P98" t="s">
        <v>140</v>
      </c>
      <c r="Q98">
        <v>1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G98">
        <v>0</v>
      </c>
      <c r="AH98">
        <v>3</v>
      </c>
      <c r="AI98">
        <v>-1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ROW(Source!A68)</f>
        <v>68</v>
      </c>
      <c r="B99">
        <v>26616037</v>
      </c>
      <c r="C99">
        <v>26616030</v>
      </c>
      <c r="D99">
        <v>25674184</v>
      </c>
      <c r="E99">
        <v>25674181</v>
      </c>
      <c r="F99">
        <v>1</v>
      </c>
      <c r="G99">
        <v>25674181</v>
      </c>
      <c r="H99">
        <v>1</v>
      </c>
      <c r="I99" t="s">
        <v>291</v>
      </c>
      <c r="K99" t="s">
        <v>292</v>
      </c>
      <c r="L99">
        <v>1191</v>
      </c>
      <c r="N99">
        <v>1013</v>
      </c>
      <c r="O99" t="s">
        <v>293</v>
      </c>
      <c r="P99" t="s">
        <v>293</v>
      </c>
      <c r="Q99">
        <v>1</v>
      </c>
      <c r="X99">
        <v>2.85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1</v>
      </c>
      <c r="AG99">
        <v>2.85</v>
      </c>
      <c r="AH99">
        <v>2</v>
      </c>
      <c r="AI99">
        <v>26616031</v>
      </c>
      <c r="AJ99">
        <v>95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ROW(Source!A68)</f>
        <v>68</v>
      </c>
      <c r="B100">
        <v>26616038</v>
      </c>
      <c r="C100">
        <v>26616030</v>
      </c>
      <c r="D100">
        <v>25685390</v>
      </c>
      <c r="E100">
        <v>1</v>
      </c>
      <c r="F100">
        <v>1</v>
      </c>
      <c r="G100">
        <v>25674181</v>
      </c>
      <c r="H100">
        <v>2</v>
      </c>
      <c r="I100" t="s">
        <v>297</v>
      </c>
      <c r="J100" t="s">
        <v>298</v>
      </c>
      <c r="K100" t="s">
        <v>299</v>
      </c>
      <c r="L100">
        <v>1368</v>
      </c>
      <c r="N100">
        <v>1011</v>
      </c>
      <c r="O100" t="s">
        <v>300</v>
      </c>
      <c r="P100" t="s">
        <v>300</v>
      </c>
      <c r="Q100">
        <v>1</v>
      </c>
      <c r="X100">
        <v>0.15</v>
      </c>
      <c r="Y100">
        <v>0</v>
      </c>
      <c r="Z100">
        <v>32.82</v>
      </c>
      <c r="AA100">
        <v>6.85</v>
      </c>
      <c r="AB100">
        <v>0</v>
      </c>
      <c r="AC100">
        <v>0</v>
      </c>
      <c r="AD100">
        <v>1</v>
      </c>
      <c r="AE100">
        <v>0</v>
      </c>
      <c r="AG100">
        <v>0.15</v>
      </c>
      <c r="AH100">
        <v>2</v>
      </c>
      <c r="AI100">
        <v>26616032</v>
      </c>
      <c r="AJ100">
        <v>96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ROW(Source!A68)</f>
        <v>68</v>
      </c>
      <c r="B101">
        <v>26616039</v>
      </c>
      <c r="C101">
        <v>26616030</v>
      </c>
      <c r="D101">
        <v>25686794</v>
      </c>
      <c r="E101">
        <v>1</v>
      </c>
      <c r="F101">
        <v>1</v>
      </c>
      <c r="G101">
        <v>25674181</v>
      </c>
      <c r="H101">
        <v>3</v>
      </c>
      <c r="I101" t="s">
        <v>314</v>
      </c>
      <c r="J101" t="s">
        <v>315</v>
      </c>
      <c r="K101" t="s">
        <v>316</v>
      </c>
      <c r="L101">
        <v>1348</v>
      </c>
      <c r="N101">
        <v>1013</v>
      </c>
      <c r="O101" t="s">
        <v>67</v>
      </c>
      <c r="P101" t="s">
        <v>67</v>
      </c>
      <c r="Q101">
        <v>1</v>
      </c>
      <c r="X101">
        <v>0.00071</v>
      </c>
      <c r="Y101">
        <v>85160.23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0.00071</v>
      </c>
      <c r="AH101">
        <v>2</v>
      </c>
      <c r="AI101">
        <v>26616033</v>
      </c>
      <c r="AJ101">
        <v>97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ROW(Source!A68)</f>
        <v>68</v>
      </c>
      <c r="B102">
        <v>26616040</v>
      </c>
      <c r="C102">
        <v>26616030</v>
      </c>
      <c r="D102">
        <v>25687630</v>
      </c>
      <c r="E102">
        <v>1</v>
      </c>
      <c r="F102">
        <v>1</v>
      </c>
      <c r="G102">
        <v>25674181</v>
      </c>
      <c r="H102">
        <v>3</v>
      </c>
      <c r="I102" t="s">
        <v>304</v>
      </c>
      <c r="J102" t="s">
        <v>305</v>
      </c>
      <c r="K102" t="s">
        <v>306</v>
      </c>
      <c r="L102">
        <v>1348</v>
      </c>
      <c r="N102">
        <v>1013</v>
      </c>
      <c r="O102" t="s">
        <v>67</v>
      </c>
      <c r="P102" t="s">
        <v>67</v>
      </c>
      <c r="Q102">
        <v>1</v>
      </c>
      <c r="X102">
        <v>0.00019</v>
      </c>
      <c r="Y102">
        <v>109898.69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0.00019</v>
      </c>
      <c r="AH102">
        <v>2</v>
      </c>
      <c r="AI102">
        <v>26616034</v>
      </c>
      <c r="AJ102">
        <v>98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ROW(Source!A68)</f>
        <v>68</v>
      </c>
      <c r="B103">
        <v>26616041</v>
      </c>
      <c r="C103">
        <v>26616030</v>
      </c>
      <c r="D103">
        <v>25692933</v>
      </c>
      <c r="E103">
        <v>1</v>
      </c>
      <c r="F103">
        <v>1</v>
      </c>
      <c r="G103">
        <v>25674181</v>
      </c>
      <c r="H103">
        <v>3</v>
      </c>
      <c r="I103" t="s">
        <v>358</v>
      </c>
      <c r="J103" t="s">
        <v>359</v>
      </c>
      <c r="K103" t="s">
        <v>360</v>
      </c>
      <c r="L103">
        <v>1354</v>
      </c>
      <c r="N103">
        <v>1013</v>
      </c>
      <c r="O103" t="s">
        <v>17</v>
      </c>
      <c r="P103" t="s">
        <v>17</v>
      </c>
      <c r="Q103">
        <v>1</v>
      </c>
      <c r="X103">
        <v>1</v>
      </c>
      <c r="Y103">
        <v>4019.42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1</v>
      </c>
      <c r="AH103">
        <v>2</v>
      </c>
      <c r="AI103">
        <v>26616035</v>
      </c>
      <c r="AJ103">
        <v>100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ROW(Source!A68)</f>
        <v>68</v>
      </c>
      <c r="B104">
        <v>26616042</v>
      </c>
      <c r="C104">
        <v>26616030</v>
      </c>
      <c r="D104">
        <v>25675143</v>
      </c>
      <c r="E104">
        <v>25674181</v>
      </c>
      <c r="F104">
        <v>1</v>
      </c>
      <c r="G104">
        <v>25674181</v>
      </c>
      <c r="H104">
        <v>3</v>
      </c>
      <c r="I104" t="s">
        <v>431</v>
      </c>
      <c r="K104" t="s">
        <v>440</v>
      </c>
      <c r="L104">
        <v>1346</v>
      </c>
      <c r="N104">
        <v>1013</v>
      </c>
      <c r="O104" t="s">
        <v>140</v>
      </c>
      <c r="P104" t="s">
        <v>140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G104">
        <v>0</v>
      </c>
      <c r="AH104">
        <v>3</v>
      </c>
      <c r="AI104">
        <v>-1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ROW(Source!A70)</f>
        <v>70</v>
      </c>
      <c r="B105">
        <v>26616051</v>
      </c>
      <c r="C105">
        <v>26616044</v>
      </c>
      <c r="D105">
        <v>25674184</v>
      </c>
      <c r="E105">
        <v>25674181</v>
      </c>
      <c r="F105">
        <v>1</v>
      </c>
      <c r="G105">
        <v>25674181</v>
      </c>
      <c r="H105">
        <v>1</v>
      </c>
      <c r="I105" t="s">
        <v>291</v>
      </c>
      <c r="K105" t="s">
        <v>292</v>
      </c>
      <c r="L105">
        <v>1191</v>
      </c>
      <c r="N105">
        <v>1013</v>
      </c>
      <c r="O105" t="s">
        <v>293</v>
      </c>
      <c r="P105" t="s">
        <v>293</v>
      </c>
      <c r="Q105">
        <v>1</v>
      </c>
      <c r="X105">
        <v>3.5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1</v>
      </c>
      <c r="AG105">
        <v>3.5</v>
      </c>
      <c r="AH105">
        <v>2</v>
      </c>
      <c r="AI105">
        <v>26616045</v>
      </c>
      <c r="AJ105">
        <v>101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ROW(Source!A70)</f>
        <v>70</v>
      </c>
      <c r="B106">
        <v>26616052</v>
      </c>
      <c r="C106">
        <v>26616044</v>
      </c>
      <c r="D106">
        <v>25685390</v>
      </c>
      <c r="E106">
        <v>1</v>
      </c>
      <c r="F106">
        <v>1</v>
      </c>
      <c r="G106">
        <v>25674181</v>
      </c>
      <c r="H106">
        <v>2</v>
      </c>
      <c r="I106" t="s">
        <v>297</v>
      </c>
      <c r="J106" t="s">
        <v>298</v>
      </c>
      <c r="K106" t="s">
        <v>299</v>
      </c>
      <c r="L106">
        <v>1368</v>
      </c>
      <c r="N106">
        <v>1011</v>
      </c>
      <c r="O106" t="s">
        <v>300</v>
      </c>
      <c r="P106" t="s">
        <v>300</v>
      </c>
      <c r="Q106">
        <v>1</v>
      </c>
      <c r="X106">
        <v>0.15</v>
      </c>
      <c r="Y106">
        <v>0</v>
      </c>
      <c r="Z106">
        <v>32.82</v>
      </c>
      <c r="AA106">
        <v>6.85</v>
      </c>
      <c r="AB106">
        <v>0</v>
      </c>
      <c r="AC106">
        <v>0</v>
      </c>
      <c r="AD106">
        <v>1</v>
      </c>
      <c r="AE106">
        <v>0</v>
      </c>
      <c r="AG106">
        <v>0.15</v>
      </c>
      <c r="AH106">
        <v>2</v>
      </c>
      <c r="AI106">
        <v>26616046</v>
      </c>
      <c r="AJ106">
        <v>102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ROW(Source!A70)</f>
        <v>70</v>
      </c>
      <c r="B107">
        <v>26616053</v>
      </c>
      <c r="C107">
        <v>26616044</v>
      </c>
      <c r="D107">
        <v>25686794</v>
      </c>
      <c r="E107">
        <v>1</v>
      </c>
      <c r="F107">
        <v>1</v>
      </c>
      <c r="G107">
        <v>25674181</v>
      </c>
      <c r="H107">
        <v>3</v>
      </c>
      <c r="I107" t="s">
        <v>314</v>
      </c>
      <c r="J107" t="s">
        <v>315</v>
      </c>
      <c r="K107" t="s">
        <v>316</v>
      </c>
      <c r="L107">
        <v>1348</v>
      </c>
      <c r="N107">
        <v>1013</v>
      </c>
      <c r="O107" t="s">
        <v>67</v>
      </c>
      <c r="P107" t="s">
        <v>67</v>
      </c>
      <c r="Q107">
        <v>1</v>
      </c>
      <c r="X107">
        <v>0.00071</v>
      </c>
      <c r="Y107">
        <v>85160.23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0.00071</v>
      </c>
      <c r="AH107">
        <v>2</v>
      </c>
      <c r="AI107">
        <v>26616047</v>
      </c>
      <c r="AJ107">
        <v>103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ROW(Source!A70)</f>
        <v>70</v>
      </c>
      <c r="B108">
        <v>26616054</v>
      </c>
      <c r="C108">
        <v>26616044</v>
      </c>
      <c r="D108">
        <v>25687630</v>
      </c>
      <c r="E108">
        <v>1</v>
      </c>
      <c r="F108">
        <v>1</v>
      </c>
      <c r="G108">
        <v>25674181</v>
      </c>
      <c r="H108">
        <v>3</v>
      </c>
      <c r="I108" t="s">
        <v>304</v>
      </c>
      <c r="J108" t="s">
        <v>305</v>
      </c>
      <c r="K108" t="s">
        <v>306</v>
      </c>
      <c r="L108">
        <v>1348</v>
      </c>
      <c r="N108">
        <v>1013</v>
      </c>
      <c r="O108" t="s">
        <v>67</v>
      </c>
      <c r="P108" t="s">
        <v>67</v>
      </c>
      <c r="Q108">
        <v>1</v>
      </c>
      <c r="X108">
        <v>0.0002</v>
      </c>
      <c r="Y108">
        <v>109898.69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0.0002</v>
      </c>
      <c r="AH108">
        <v>2</v>
      </c>
      <c r="AI108">
        <v>26616048</v>
      </c>
      <c r="AJ108">
        <v>104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ROW(Source!A70)</f>
        <v>70</v>
      </c>
      <c r="B109">
        <v>26616055</v>
      </c>
      <c r="C109">
        <v>26616044</v>
      </c>
      <c r="D109">
        <v>25692932</v>
      </c>
      <c r="E109">
        <v>1</v>
      </c>
      <c r="F109">
        <v>1</v>
      </c>
      <c r="G109">
        <v>25674181</v>
      </c>
      <c r="H109">
        <v>3</v>
      </c>
      <c r="I109" t="s">
        <v>361</v>
      </c>
      <c r="J109" t="s">
        <v>362</v>
      </c>
      <c r="K109" t="s">
        <v>363</v>
      </c>
      <c r="L109">
        <v>1354</v>
      </c>
      <c r="N109">
        <v>1013</v>
      </c>
      <c r="O109" t="s">
        <v>17</v>
      </c>
      <c r="P109" t="s">
        <v>17</v>
      </c>
      <c r="Q109">
        <v>1</v>
      </c>
      <c r="X109">
        <v>1</v>
      </c>
      <c r="Y109">
        <v>4433.98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1</v>
      </c>
      <c r="AH109">
        <v>2</v>
      </c>
      <c r="AI109">
        <v>26616049</v>
      </c>
      <c r="AJ109">
        <v>106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ROW(Source!A70)</f>
        <v>70</v>
      </c>
      <c r="B110">
        <v>26616056</v>
      </c>
      <c r="C110">
        <v>26616044</v>
      </c>
      <c r="D110">
        <v>25675143</v>
      </c>
      <c r="E110">
        <v>25674181</v>
      </c>
      <c r="F110">
        <v>1</v>
      </c>
      <c r="G110">
        <v>25674181</v>
      </c>
      <c r="H110">
        <v>3</v>
      </c>
      <c r="I110" t="s">
        <v>431</v>
      </c>
      <c r="K110" t="s">
        <v>440</v>
      </c>
      <c r="L110">
        <v>1346</v>
      </c>
      <c r="N110">
        <v>1013</v>
      </c>
      <c r="O110" t="s">
        <v>140</v>
      </c>
      <c r="P110" t="s">
        <v>140</v>
      </c>
      <c r="Q110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G110">
        <v>0</v>
      </c>
      <c r="AH110">
        <v>3</v>
      </c>
      <c r="AI110">
        <v>-1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ROW(Source!A72)</f>
        <v>72</v>
      </c>
      <c r="B111">
        <v>26616065</v>
      </c>
      <c r="C111">
        <v>26616058</v>
      </c>
      <c r="D111">
        <v>25674184</v>
      </c>
      <c r="E111">
        <v>25674181</v>
      </c>
      <c r="F111">
        <v>1</v>
      </c>
      <c r="G111">
        <v>25674181</v>
      </c>
      <c r="H111">
        <v>1</v>
      </c>
      <c r="I111" t="s">
        <v>291</v>
      </c>
      <c r="K111" t="s">
        <v>292</v>
      </c>
      <c r="L111">
        <v>1191</v>
      </c>
      <c r="N111">
        <v>1013</v>
      </c>
      <c r="O111" t="s">
        <v>293</v>
      </c>
      <c r="P111" t="s">
        <v>293</v>
      </c>
      <c r="Q111">
        <v>1</v>
      </c>
      <c r="X111">
        <v>3.5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1</v>
      </c>
      <c r="AG111">
        <v>3.5</v>
      </c>
      <c r="AH111">
        <v>2</v>
      </c>
      <c r="AI111">
        <v>26616059</v>
      </c>
      <c r="AJ111">
        <v>107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ROW(Source!A72)</f>
        <v>72</v>
      </c>
      <c r="B112">
        <v>26616066</v>
      </c>
      <c r="C112">
        <v>26616058</v>
      </c>
      <c r="D112">
        <v>25685390</v>
      </c>
      <c r="E112">
        <v>1</v>
      </c>
      <c r="F112">
        <v>1</v>
      </c>
      <c r="G112">
        <v>25674181</v>
      </c>
      <c r="H112">
        <v>2</v>
      </c>
      <c r="I112" t="s">
        <v>297</v>
      </c>
      <c r="J112" t="s">
        <v>298</v>
      </c>
      <c r="K112" t="s">
        <v>299</v>
      </c>
      <c r="L112">
        <v>1368</v>
      </c>
      <c r="N112">
        <v>1011</v>
      </c>
      <c r="O112" t="s">
        <v>300</v>
      </c>
      <c r="P112" t="s">
        <v>300</v>
      </c>
      <c r="Q112">
        <v>1</v>
      </c>
      <c r="X112">
        <v>0.15</v>
      </c>
      <c r="Y112">
        <v>0</v>
      </c>
      <c r="Z112">
        <v>32.82</v>
      </c>
      <c r="AA112">
        <v>6.85</v>
      </c>
      <c r="AB112">
        <v>0</v>
      </c>
      <c r="AC112">
        <v>0</v>
      </c>
      <c r="AD112">
        <v>1</v>
      </c>
      <c r="AE112">
        <v>0</v>
      </c>
      <c r="AG112">
        <v>0.15</v>
      </c>
      <c r="AH112">
        <v>2</v>
      </c>
      <c r="AI112">
        <v>26616060</v>
      </c>
      <c r="AJ112">
        <v>108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ROW(Source!A72)</f>
        <v>72</v>
      </c>
      <c r="B113">
        <v>26616067</v>
      </c>
      <c r="C113">
        <v>26616058</v>
      </c>
      <c r="D113">
        <v>25686794</v>
      </c>
      <c r="E113">
        <v>1</v>
      </c>
      <c r="F113">
        <v>1</v>
      </c>
      <c r="G113">
        <v>25674181</v>
      </c>
      <c r="H113">
        <v>3</v>
      </c>
      <c r="I113" t="s">
        <v>314</v>
      </c>
      <c r="J113" t="s">
        <v>315</v>
      </c>
      <c r="K113" t="s">
        <v>316</v>
      </c>
      <c r="L113">
        <v>1348</v>
      </c>
      <c r="N113">
        <v>1013</v>
      </c>
      <c r="O113" t="s">
        <v>67</v>
      </c>
      <c r="P113" t="s">
        <v>67</v>
      </c>
      <c r="Q113">
        <v>1</v>
      </c>
      <c r="X113">
        <v>0.00071</v>
      </c>
      <c r="Y113">
        <v>85160.23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0.00071</v>
      </c>
      <c r="AH113">
        <v>2</v>
      </c>
      <c r="AI113">
        <v>26616061</v>
      </c>
      <c r="AJ113">
        <v>109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ROW(Source!A72)</f>
        <v>72</v>
      </c>
      <c r="B114">
        <v>26616068</v>
      </c>
      <c r="C114">
        <v>26616058</v>
      </c>
      <c r="D114">
        <v>25687630</v>
      </c>
      <c r="E114">
        <v>1</v>
      </c>
      <c r="F114">
        <v>1</v>
      </c>
      <c r="G114">
        <v>25674181</v>
      </c>
      <c r="H114">
        <v>3</v>
      </c>
      <c r="I114" t="s">
        <v>304</v>
      </c>
      <c r="J114" t="s">
        <v>305</v>
      </c>
      <c r="K114" t="s">
        <v>306</v>
      </c>
      <c r="L114">
        <v>1348</v>
      </c>
      <c r="N114">
        <v>1013</v>
      </c>
      <c r="O114" t="s">
        <v>67</v>
      </c>
      <c r="P114" t="s">
        <v>67</v>
      </c>
      <c r="Q114">
        <v>1</v>
      </c>
      <c r="X114">
        <v>0.0002</v>
      </c>
      <c r="Y114">
        <v>109898.69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0.0002</v>
      </c>
      <c r="AH114">
        <v>2</v>
      </c>
      <c r="AI114">
        <v>26616062</v>
      </c>
      <c r="AJ114">
        <v>110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ROW(Source!A72)</f>
        <v>72</v>
      </c>
      <c r="B115">
        <v>26616069</v>
      </c>
      <c r="C115">
        <v>26616058</v>
      </c>
      <c r="D115">
        <v>25692932</v>
      </c>
      <c r="E115">
        <v>1</v>
      </c>
      <c r="F115">
        <v>1</v>
      </c>
      <c r="G115">
        <v>25674181</v>
      </c>
      <c r="H115">
        <v>3</v>
      </c>
      <c r="I115" t="s">
        <v>361</v>
      </c>
      <c r="J115" t="s">
        <v>362</v>
      </c>
      <c r="K115" t="s">
        <v>363</v>
      </c>
      <c r="L115">
        <v>1354</v>
      </c>
      <c r="N115">
        <v>1013</v>
      </c>
      <c r="O115" t="s">
        <v>17</v>
      </c>
      <c r="P115" t="s">
        <v>17</v>
      </c>
      <c r="Q115">
        <v>1</v>
      </c>
      <c r="X115">
        <v>1</v>
      </c>
      <c r="Y115">
        <v>4433.98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1</v>
      </c>
      <c r="AH115">
        <v>2</v>
      </c>
      <c r="AI115">
        <v>26616063</v>
      </c>
      <c r="AJ115">
        <v>112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ROW(Source!A72)</f>
        <v>72</v>
      </c>
      <c r="B116">
        <v>26616070</v>
      </c>
      <c r="C116">
        <v>26616058</v>
      </c>
      <c r="D116">
        <v>25675143</v>
      </c>
      <c r="E116">
        <v>25674181</v>
      </c>
      <c r="F116">
        <v>1</v>
      </c>
      <c r="G116">
        <v>25674181</v>
      </c>
      <c r="H116">
        <v>3</v>
      </c>
      <c r="I116" t="s">
        <v>431</v>
      </c>
      <c r="K116" t="s">
        <v>440</v>
      </c>
      <c r="L116">
        <v>1346</v>
      </c>
      <c r="N116">
        <v>1013</v>
      </c>
      <c r="O116" t="s">
        <v>140</v>
      </c>
      <c r="P116" t="s">
        <v>140</v>
      </c>
      <c r="Q116">
        <v>1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G116">
        <v>0</v>
      </c>
      <c r="AH116">
        <v>3</v>
      </c>
      <c r="AI116">
        <v>-1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ROW(Source!A74)</f>
        <v>74</v>
      </c>
      <c r="B117">
        <v>26616079</v>
      </c>
      <c r="C117">
        <v>26616072</v>
      </c>
      <c r="D117">
        <v>25674184</v>
      </c>
      <c r="E117">
        <v>25674181</v>
      </c>
      <c r="F117">
        <v>1</v>
      </c>
      <c r="G117">
        <v>25674181</v>
      </c>
      <c r="H117">
        <v>1</v>
      </c>
      <c r="I117" t="s">
        <v>291</v>
      </c>
      <c r="K117" t="s">
        <v>292</v>
      </c>
      <c r="L117">
        <v>1191</v>
      </c>
      <c r="N117">
        <v>1013</v>
      </c>
      <c r="O117" t="s">
        <v>293</v>
      </c>
      <c r="P117" t="s">
        <v>293</v>
      </c>
      <c r="Q117">
        <v>1</v>
      </c>
      <c r="X117">
        <v>3.5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1</v>
      </c>
      <c r="AG117">
        <v>3.5</v>
      </c>
      <c r="AH117">
        <v>2</v>
      </c>
      <c r="AI117">
        <v>26616073</v>
      </c>
      <c r="AJ117">
        <v>113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ROW(Source!A74)</f>
        <v>74</v>
      </c>
      <c r="B118">
        <v>26616080</v>
      </c>
      <c r="C118">
        <v>26616072</v>
      </c>
      <c r="D118">
        <v>25685390</v>
      </c>
      <c r="E118">
        <v>1</v>
      </c>
      <c r="F118">
        <v>1</v>
      </c>
      <c r="G118">
        <v>25674181</v>
      </c>
      <c r="H118">
        <v>2</v>
      </c>
      <c r="I118" t="s">
        <v>297</v>
      </c>
      <c r="J118" t="s">
        <v>298</v>
      </c>
      <c r="K118" t="s">
        <v>299</v>
      </c>
      <c r="L118">
        <v>1368</v>
      </c>
      <c r="N118">
        <v>1011</v>
      </c>
      <c r="O118" t="s">
        <v>300</v>
      </c>
      <c r="P118" t="s">
        <v>300</v>
      </c>
      <c r="Q118">
        <v>1</v>
      </c>
      <c r="X118">
        <v>0.15</v>
      </c>
      <c r="Y118">
        <v>0</v>
      </c>
      <c r="Z118">
        <v>32.82</v>
      </c>
      <c r="AA118">
        <v>6.85</v>
      </c>
      <c r="AB118">
        <v>0</v>
      </c>
      <c r="AC118">
        <v>0</v>
      </c>
      <c r="AD118">
        <v>1</v>
      </c>
      <c r="AE118">
        <v>0</v>
      </c>
      <c r="AG118">
        <v>0.15</v>
      </c>
      <c r="AH118">
        <v>2</v>
      </c>
      <c r="AI118">
        <v>26616074</v>
      </c>
      <c r="AJ118">
        <v>114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ROW(Source!A74)</f>
        <v>74</v>
      </c>
      <c r="B119">
        <v>26616081</v>
      </c>
      <c r="C119">
        <v>26616072</v>
      </c>
      <c r="D119">
        <v>25686794</v>
      </c>
      <c r="E119">
        <v>1</v>
      </c>
      <c r="F119">
        <v>1</v>
      </c>
      <c r="G119">
        <v>25674181</v>
      </c>
      <c r="H119">
        <v>3</v>
      </c>
      <c r="I119" t="s">
        <v>314</v>
      </c>
      <c r="J119" t="s">
        <v>315</v>
      </c>
      <c r="K119" t="s">
        <v>316</v>
      </c>
      <c r="L119">
        <v>1348</v>
      </c>
      <c r="N119">
        <v>1013</v>
      </c>
      <c r="O119" t="s">
        <v>67</v>
      </c>
      <c r="P119" t="s">
        <v>67</v>
      </c>
      <c r="Q119">
        <v>1</v>
      </c>
      <c r="X119">
        <v>0.00071</v>
      </c>
      <c r="Y119">
        <v>85160.23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0.00071</v>
      </c>
      <c r="AH119">
        <v>2</v>
      </c>
      <c r="AI119">
        <v>26616075</v>
      </c>
      <c r="AJ119">
        <v>115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ROW(Source!A74)</f>
        <v>74</v>
      </c>
      <c r="B120">
        <v>26616082</v>
      </c>
      <c r="C120">
        <v>26616072</v>
      </c>
      <c r="D120">
        <v>25687630</v>
      </c>
      <c r="E120">
        <v>1</v>
      </c>
      <c r="F120">
        <v>1</v>
      </c>
      <c r="G120">
        <v>25674181</v>
      </c>
      <c r="H120">
        <v>3</v>
      </c>
      <c r="I120" t="s">
        <v>304</v>
      </c>
      <c r="J120" t="s">
        <v>305</v>
      </c>
      <c r="K120" t="s">
        <v>306</v>
      </c>
      <c r="L120">
        <v>1348</v>
      </c>
      <c r="N120">
        <v>1013</v>
      </c>
      <c r="O120" t="s">
        <v>67</v>
      </c>
      <c r="P120" t="s">
        <v>67</v>
      </c>
      <c r="Q120">
        <v>1</v>
      </c>
      <c r="X120">
        <v>0.0002</v>
      </c>
      <c r="Y120">
        <v>109898.69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0.0002</v>
      </c>
      <c r="AH120">
        <v>2</v>
      </c>
      <c r="AI120">
        <v>26616076</v>
      </c>
      <c r="AJ120">
        <v>116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ROW(Source!A74)</f>
        <v>74</v>
      </c>
      <c r="B121">
        <v>26616083</v>
      </c>
      <c r="C121">
        <v>26616072</v>
      </c>
      <c r="D121">
        <v>25692932</v>
      </c>
      <c r="E121">
        <v>1</v>
      </c>
      <c r="F121">
        <v>1</v>
      </c>
      <c r="G121">
        <v>25674181</v>
      </c>
      <c r="H121">
        <v>3</v>
      </c>
      <c r="I121" t="s">
        <v>361</v>
      </c>
      <c r="J121" t="s">
        <v>362</v>
      </c>
      <c r="K121" t="s">
        <v>363</v>
      </c>
      <c r="L121">
        <v>1354</v>
      </c>
      <c r="N121">
        <v>1013</v>
      </c>
      <c r="O121" t="s">
        <v>17</v>
      </c>
      <c r="P121" t="s">
        <v>17</v>
      </c>
      <c r="Q121">
        <v>1</v>
      </c>
      <c r="X121">
        <v>1</v>
      </c>
      <c r="Y121">
        <v>4433.98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1</v>
      </c>
      <c r="AH121">
        <v>2</v>
      </c>
      <c r="AI121">
        <v>26616077</v>
      </c>
      <c r="AJ121">
        <v>118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ROW(Source!A74)</f>
        <v>74</v>
      </c>
      <c r="B122">
        <v>26616084</v>
      </c>
      <c r="C122">
        <v>26616072</v>
      </c>
      <c r="D122">
        <v>25675143</v>
      </c>
      <c r="E122">
        <v>25674181</v>
      </c>
      <c r="F122">
        <v>1</v>
      </c>
      <c r="G122">
        <v>25674181</v>
      </c>
      <c r="H122">
        <v>3</v>
      </c>
      <c r="I122" t="s">
        <v>431</v>
      </c>
      <c r="K122" t="s">
        <v>440</v>
      </c>
      <c r="L122">
        <v>1346</v>
      </c>
      <c r="N122">
        <v>1013</v>
      </c>
      <c r="O122" t="s">
        <v>140</v>
      </c>
      <c r="P122" t="s">
        <v>140</v>
      </c>
      <c r="Q122">
        <v>1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G122">
        <v>0</v>
      </c>
      <c r="AH122">
        <v>3</v>
      </c>
      <c r="AI122">
        <v>-1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ROW(Source!A76)</f>
        <v>76</v>
      </c>
      <c r="B123">
        <v>26616529</v>
      </c>
      <c r="C123">
        <v>26616528</v>
      </c>
      <c r="D123">
        <v>25674184</v>
      </c>
      <c r="E123">
        <v>25674181</v>
      </c>
      <c r="F123">
        <v>1</v>
      </c>
      <c r="G123">
        <v>25674181</v>
      </c>
      <c r="H123">
        <v>1</v>
      </c>
      <c r="I123" t="s">
        <v>291</v>
      </c>
      <c r="K123" t="s">
        <v>292</v>
      </c>
      <c r="L123">
        <v>1191</v>
      </c>
      <c r="N123">
        <v>1013</v>
      </c>
      <c r="O123" t="s">
        <v>293</v>
      </c>
      <c r="P123" t="s">
        <v>293</v>
      </c>
      <c r="Q123">
        <v>1</v>
      </c>
      <c r="X123">
        <v>46.12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1</v>
      </c>
      <c r="AG123">
        <v>46.12</v>
      </c>
      <c r="AH123">
        <v>2</v>
      </c>
      <c r="AI123">
        <v>26616529</v>
      </c>
      <c r="AJ123">
        <v>119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ROW(Source!A76)</f>
        <v>76</v>
      </c>
      <c r="B124">
        <v>26616530</v>
      </c>
      <c r="C124">
        <v>26616528</v>
      </c>
      <c r="D124">
        <v>25685390</v>
      </c>
      <c r="E124">
        <v>1</v>
      </c>
      <c r="F124">
        <v>1</v>
      </c>
      <c r="G124">
        <v>25674181</v>
      </c>
      <c r="H124">
        <v>2</v>
      </c>
      <c r="I124" t="s">
        <v>297</v>
      </c>
      <c r="J124" t="s">
        <v>298</v>
      </c>
      <c r="K124" t="s">
        <v>299</v>
      </c>
      <c r="L124">
        <v>1368</v>
      </c>
      <c r="N124">
        <v>1011</v>
      </c>
      <c r="O124" t="s">
        <v>300</v>
      </c>
      <c r="P124" t="s">
        <v>300</v>
      </c>
      <c r="Q124">
        <v>1</v>
      </c>
      <c r="X124">
        <v>1.81</v>
      </c>
      <c r="Y124">
        <v>0</v>
      </c>
      <c r="Z124">
        <v>32.82</v>
      </c>
      <c r="AA124">
        <v>6.85</v>
      </c>
      <c r="AB124">
        <v>0</v>
      </c>
      <c r="AC124">
        <v>0</v>
      </c>
      <c r="AD124">
        <v>1</v>
      </c>
      <c r="AE124">
        <v>0</v>
      </c>
      <c r="AG124">
        <v>1.81</v>
      </c>
      <c r="AH124">
        <v>2</v>
      </c>
      <c r="AI124">
        <v>26616530</v>
      </c>
      <c r="AJ124">
        <v>120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ROW(Source!A76)</f>
        <v>76</v>
      </c>
      <c r="B125">
        <v>26616531</v>
      </c>
      <c r="C125">
        <v>26616528</v>
      </c>
      <c r="D125">
        <v>25686786</v>
      </c>
      <c r="E125">
        <v>1</v>
      </c>
      <c r="F125">
        <v>1</v>
      </c>
      <c r="G125">
        <v>25674181</v>
      </c>
      <c r="H125">
        <v>3</v>
      </c>
      <c r="I125" t="s">
        <v>364</v>
      </c>
      <c r="J125" t="s">
        <v>365</v>
      </c>
      <c r="K125" t="s">
        <v>366</v>
      </c>
      <c r="L125">
        <v>1348</v>
      </c>
      <c r="N125">
        <v>1013</v>
      </c>
      <c r="O125" t="s">
        <v>67</v>
      </c>
      <c r="P125" t="s">
        <v>67</v>
      </c>
      <c r="Q125">
        <v>1</v>
      </c>
      <c r="X125">
        <v>0.00096</v>
      </c>
      <c r="Y125">
        <v>116144.67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0.00096</v>
      </c>
      <c r="AH125">
        <v>2</v>
      </c>
      <c r="AI125">
        <v>26616531</v>
      </c>
      <c r="AJ125">
        <v>121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ROW(Source!A76)</f>
        <v>76</v>
      </c>
      <c r="B126">
        <v>26616532</v>
      </c>
      <c r="C126">
        <v>26616528</v>
      </c>
      <c r="D126">
        <v>25686794</v>
      </c>
      <c r="E126">
        <v>1</v>
      </c>
      <c r="F126">
        <v>1</v>
      </c>
      <c r="G126">
        <v>25674181</v>
      </c>
      <c r="H126">
        <v>3</v>
      </c>
      <c r="I126" t="s">
        <v>314</v>
      </c>
      <c r="J126" t="s">
        <v>315</v>
      </c>
      <c r="K126" t="s">
        <v>316</v>
      </c>
      <c r="L126">
        <v>1348</v>
      </c>
      <c r="N126">
        <v>1013</v>
      </c>
      <c r="O126" t="s">
        <v>67</v>
      </c>
      <c r="P126" t="s">
        <v>67</v>
      </c>
      <c r="Q126">
        <v>1</v>
      </c>
      <c r="X126">
        <v>0.0042</v>
      </c>
      <c r="Y126">
        <v>85160.23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0.0042</v>
      </c>
      <c r="AH126">
        <v>2</v>
      </c>
      <c r="AI126">
        <v>26616532</v>
      </c>
      <c r="AJ126">
        <v>122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ROW(Source!A76)</f>
        <v>76</v>
      </c>
      <c r="B127">
        <v>26616533</v>
      </c>
      <c r="C127">
        <v>26616528</v>
      </c>
      <c r="D127">
        <v>25686868</v>
      </c>
      <c r="E127">
        <v>1</v>
      </c>
      <c r="F127">
        <v>1</v>
      </c>
      <c r="G127">
        <v>25674181</v>
      </c>
      <c r="H127">
        <v>3</v>
      </c>
      <c r="I127" t="s">
        <v>367</v>
      </c>
      <c r="J127" t="s">
        <v>368</v>
      </c>
      <c r="K127" t="s">
        <v>369</v>
      </c>
      <c r="L127">
        <v>1348</v>
      </c>
      <c r="N127">
        <v>1013</v>
      </c>
      <c r="O127" t="s">
        <v>67</v>
      </c>
      <c r="P127" t="s">
        <v>67</v>
      </c>
      <c r="Q127">
        <v>1</v>
      </c>
      <c r="X127">
        <v>0.00018</v>
      </c>
      <c r="Y127">
        <v>99698.6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0.00018</v>
      </c>
      <c r="AH127">
        <v>2</v>
      </c>
      <c r="AI127">
        <v>26616533</v>
      </c>
      <c r="AJ127">
        <v>123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ROW(Source!A76)</f>
        <v>76</v>
      </c>
      <c r="B128">
        <v>26616540</v>
      </c>
      <c r="C128">
        <v>26616528</v>
      </c>
      <c r="D128">
        <v>25691726</v>
      </c>
      <c r="E128">
        <v>1</v>
      </c>
      <c r="F128">
        <v>1</v>
      </c>
      <c r="G128">
        <v>25674181</v>
      </c>
      <c r="H128">
        <v>3</v>
      </c>
      <c r="I128" t="s">
        <v>370</v>
      </c>
      <c r="J128" t="s">
        <v>371</v>
      </c>
      <c r="K128" t="s">
        <v>372</v>
      </c>
      <c r="L128">
        <v>1035</v>
      </c>
      <c r="N128">
        <v>1013</v>
      </c>
      <c r="O128" t="s">
        <v>58</v>
      </c>
      <c r="P128" t="s">
        <v>58</v>
      </c>
      <c r="Q128">
        <v>1</v>
      </c>
      <c r="X128">
        <v>3</v>
      </c>
      <c r="Y128">
        <v>109.91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3</v>
      </c>
      <c r="AH128">
        <v>2</v>
      </c>
      <c r="AI128">
        <v>26616540</v>
      </c>
      <c r="AJ128">
        <v>124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ROW(Source!A76)</f>
        <v>76</v>
      </c>
      <c r="B129">
        <v>26616534</v>
      </c>
      <c r="C129">
        <v>26616528</v>
      </c>
      <c r="D129">
        <v>25687610</v>
      </c>
      <c r="E129">
        <v>1</v>
      </c>
      <c r="F129">
        <v>1</v>
      </c>
      <c r="G129">
        <v>25674181</v>
      </c>
      <c r="H129">
        <v>3</v>
      </c>
      <c r="I129" t="s">
        <v>373</v>
      </c>
      <c r="J129" t="s">
        <v>374</v>
      </c>
      <c r="K129" t="s">
        <v>375</v>
      </c>
      <c r="L129">
        <v>1327</v>
      </c>
      <c r="N129">
        <v>1013</v>
      </c>
      <c r="O129" t="s">
        <v>85</v>
      </c>
      <c r="P129" t="s">
        <v>85</v>
      </c>
      <c r="Q129">
        <v>1</v>
      </c>
      <c r="X129">
        <v>0.095</v>
      </c>
      <c r="Y129">
        <v>32.4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0.095</v>
      </c>
      <c r="AH129">
        <v>2</v>
      </c>
      <c r="AI129">
        <v>26616534</v>
      </c>
      <c r="AJ129">
        <v>125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ROW(Source!A76)</f>
        <v>76</v>
      </c>
      <c r="B130">
        <v>26616535</v>
      </c>
      <c r="C130">
        <v>26616528</v>
      </c>
      <c r="D130">
        <v>25687630</v>
      </c>
      <c r="E130">
        <v>1</v>
      </c>
      <c r="F130">
        <v>1</v>
      </c>
      <c r="G130">
        <v>25674181</v>
      </c>
      <c r="H130">
        <v>3</v>
      </c>
      <c r="I130" t="s">
        <v>304</v>
      </c>
      <c r="J130" t="s">
        <v>305</v>
      </c>
      <c r="K130" t="s">
        <v>306</v>
      </c>
      <c r="L130">
        <v>1348</v>
      </c>
      <c r="N130">
        <v>1013</v>
      </c>
      <c r="O130" t="s">
        <v>67</v>
      </c>
      <c r="P130" t="s">
        <v>67</v>
      </c>
      <c r="Q130">
        <v>1</v>
      </c>
      <c r="X130">
        <v>0.00034</v>
      </c>
      <c r="Y130">
        <v>109898.69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0.00034</v>
      </c>
      <c r="AH130">
        <v>2</v>
      </c>
      <c r="AI130">
        <v>26616535</v>
      </c>
      <c r="AJ130">
        <v>126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ROW(Source!A76)</f>
        <v>76</v>
      </c>
      <c r="B131">
        <v>26616536</v>
      </c>
      <c r="C131">
        <v>26616528</v>
      </c>
      <c r="D131">
        <v>25687707</v>
      </c>
      <c r="E131">
        <v>1</v>
      </c>
      <c r="F131">
        <v>1</v>
      </c>
      <c r="G131">
        <v>25674181</v>
      </c>
      <c r="H131">
        <v>3</v>
      </c>
      <c r="I131" t="s">
        <v>376</v>
      </c>
      <c r="J131" t="s">
        <v>377</v>
      </c>
      <c r="K131" t="s">
        <v>378</v>
      </c>
      <c r="L131">
        <v>1346</v>
      </c>
      <c r="N131">
        <v>1013</v>
      </c>
      <c r="O131" t="s">
        <v>140</v>
      </c>
      <c r="P131" t="s">
        <v>140</v>
      </c>
      <c r="Q131">
        <v>1</v>
      </c>
      <c r="X131">
        <v>0.15</v>
      </c>
      <c r="Y131">
        <v>215.01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0.15</v>
      </c>
      <c r="AH131">
        <v>2</v>
      </c>
      <c r="AI131">
        <v>26616536</v>
      </c>
      <c r="AJ131">
        <v>127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ROW(Source!A76)</f>
        <v>76</v>
      </c>
      <c r="B132">
        <v>26616537</v>
      </c>
      <c r="C132">
        <v>26616528</v>
      </c>
      <c r="D132">
        <v>25687974</v>
      </c>
      <c r="E132">
        <v>1</v>
      </c>
      <c r="F132">
        <v>1</v>
      </c>
      <c r="G132">
        <v>25674181</v>
      </c>
      <c r="H132">
        <v>3</v>
      </c>
      <c r="I132" t="s">
        <v>320</v>
      </c>
      <c r="J132" t="s">
        <v>321</v>
      </c>
      <c r="K132" t="s">
        <v>322</v>
      </c>
      <c r="L132">
        <v>1348</v>
      </c>
      <c r="N132">
        <v>1013</v>
      </c>
      <c r="O132" t="s">
        <v>67</v>
      </c>
      <c r="P132" t="s">
        <v>67</v>
      </c>
      <c r="Q132">
        <v>1</v>
      </c>
      <c r="X132">
        <v>0.00272</v>
      </c>
      <c r="Y132">
        <v>142669.85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0.00272</v>
      </c>
      <c r="AH132">
        <v>2</v>
      </c>
      <c r="AI132">
        <v>26616537</v>
      </c>
      <c r="AJ132">
        <v>128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ROW(Source!A76)</f>
        <v>76</v>
      </c>
      <c r="B133">
        <v>26616538</v>
      </c>
      <c r="C133">
        <v>26616528</v>
      </c>
      <c r="D133">
        <v>25686207</v>
      </c>
      <c r="E133">
        <v>1</v>
      </c>
      <c r="F133">
        <v>1</v>
      </c>
      <c r="G133">
        <v>25674181</v>
      </c>
      <c r="H133">
        <v>3</v>
      </c>
      <c r="I133" t="s">
        <v>379</v>
      </c>
      <c r="J133" t="s">
        <v>380</v>
      </c>
      <c r="K133" t="s">
        <v>381</v>
      </c>
      <c r="L133">
        <v>1348</v>
      </c>
      <c r="N133">
        <v>1013</v>
      </c>
      <c r="O133" t="s">
        <v>67</v>
      </c>
      <c r="P133" t="s">
        <v>67</v>
      </c>
      <c r="Q133">
        <v>1</v>
      </c>
      <c r="X133">
        <v>0.00038</v>
      </c>
      <c r="Y133">
        <v>66844.36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0.00038</v>
      </c>
      <c r="AH133">
        <v>2</v>
      </c>
      <c r="AI133">
        <v>26616538</v>
      </c>
      <c r="AJ133">
        <v>129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ROW(Source!A76)</f>
        <v>76</v>
      </c>
      <c r="B134">
        <v>26616539</v>
      </c>
      <c r="C134">
        <v>26616528</v>
      </c>
      <c r="D134">
        <v>25686248</v>
      </c>
      <c r="E134">
        <v>1</v>
      </c>
      <c r="F134">
        <v>1</v>
      </c>
      <c r="G134">
        <v>25674181</v>
      </c>
      <c r="H134">
        <v>3</v>
      </c>
      <c r="I134" t="s">
        <v>382</v>
      </c>
      <c r="J134" t="s">
        <v>383</v>
      </c>
      <c r="K134" t="s">
        <v>384</v>
      </c>
      <c r="L134">
        <v>1346</v>
      </c>
      <c r="N134">
        <v>1013</v>
      </c>
      <c r="O134" t="s">
        <v>140</v>
      </c>
      <c r="P134" t="s">
        <v>140</v>
      </c>
      <c r="Q134">
        <v>1</v>
      </c>
      <c r="X134">
        <v>0.045</v>
      </c>
      <c r="Y134">
        <v>55.6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0.045</v>
      </c>
      <c r="AH134">
        <v>2</v>
      </c>
      <c r="AI134">
        <v>26616539</v>
      </c>
      <c r="AJ134">
        <v>130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ROW(Source!A76)</f>
        <v>76</v>
      </c>
      <c r="B135">
        <v>26616541</v>
      </c>
      <c r="C135">
        <v>26616528</v>
      </c>
      <c r="D135">
        <v>25688502</v>
      </c>
      <c r="E135">
        <v>1</v>
      </c>
      <c r="F135">
        <v>1</v>
      </c>
      <c r="G135">
        <v>25674181</v>
      </c>
      <c r="H135">
        <v>3</v>
      </c>
      <c r="I135" t="s">
        <v>307</v>
      </c>
      <c r="J135" t="s">
        <v>308</v>
      </c>
      <c r="K135" t="s">
        <v>309</v>
      </c>
      <c r="L135">
        <v>1339</v>
      </c>
      <c r="N135">
        <v>1007</v>
      </c>
      <c r="O135" t="s">
        <v>310</v>
      </c>
      <c r="P135" t="s">
        <v>310</v>
      </c>
      <c r="Q135">
        <v>1</v>
      </c>
      <c r="X135">
        <v>0.009</v>
      </c>
      <c r="Y135">
        <v>2834.05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0.009</v>
      </c>
      <c r="AH135">
        <v>2</v>
      </c>
      <c r="AI135">
        <v>26616541</v>
      </c>
      <c r="AJ135">
        <v>131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ROW(Source!A76)</f>
        <v>76</v>
      </c>
      <c r="B136">
        <v>26616542</v>
      </c>
      <c r="C136">
        <v>26616528</v>
      </c>
      <c r="D136">
        <v>25675167</v>
      </c>
      <c r="E136">
        <v>25674181</v>
      </c>
      <c r="F136">
        <v>1</v>
      </c>
      <c r="G136">
        <v>25674181</v>
      </c>
      <c r="H136">
        <v>3</v>
      </c>
      <c r="I136" t="s">
        <v>441</v>
      </c>
      <c r="K136" t="s">
        <v>442</v>
      </c>
      <c r="L136">
        <v>1035</v>
      </c>
      <c r="N136">
        <v>1013</v>
      </c>
      <c r="O136" t="s">
        <v>58</v>
      </c>
      <c r="P136" t="s">
        <v>58</v>
      </c>
      <c r="Q136">
        <v>1</v>
      </c>
      <c r="X136">
        <v>1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G136">
        <v>1</v>
      </c>
      <c r="AH136">
        <v>3</v>
      </c>
      <c r="AI136">
        <v>-1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ROW(Source!A78)</f>
        <v>78</v>
      </c>
      <c r="B137">
        <v>26616550</v>
      </c>
      <c r="C137">
        <v>26616549</v>
      </c>
      <c r="D137">
        <v>25674184</v>
      </c>
      <c r="E137">
        <v>25674181</v>
      </c>
      <c r="F137">
        <v>1</v>
      </c>
      <c r="G137">
        <v>25674181</v>
      </c>
      <c r="H137">
        <v>1</v>
      </c>
      <c r="I137" t="s">
        <v>291</v>
      </c>
      <c r="K137" t="s">
        <v>292</v>
      </c>
      <c r="L137">
        <v>1191</v>
      </c>
      <c r="N137">
        <v>1013</v>
      </c>
      <c r="O137" t="s">
        <v>293</v>
      </c>
      <c r="P137" t="s">
        <v>293</v>
      </c>
      <c r="Q137">
        <v>1</v>
      </c>
      <c r="X137">
        <v>1.63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1</v>
      </c>
      <c r="AG137">
        <v>1.63</v>
      </c>
      <c r="AH137">
        <v>2</v>
      </c>
      <c r="AI137">
        <v>26616550</v>
      </c>
      <c r="AJ137">
        <v>133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ROW(Source!A78)</f>
        <v>78</v>
      </c>
      <c r="B138">
        <v>26616551</v>
      </c>
      <c r="C138">
        <v>26616549</v>
      </c>
      <c r="D138">
        <v>25686794</v>
      </c>
      <c r="E138">
        <v>1</v>
      </c>
      <c r="F138">
        <v>1</v>
      </c>
      <c r="G138">
        <v>25674181</v>
      </c>
      <c r="H138">
        <v>3</v>
      </c>
      <c r="I138" t="s">
        <v>314</v>
      </c>
      <c r="J138" t="s">
        <v>315</v>
      </c>
      <c r="K138" t="s">
        <v>316</v>
      </c>
      <c r="L138">
        <v>1348</v>
      </c>
      <c r="N138">
        <v>1013</v>
      </c>
      <c r="O138" t="s">
        <v>67</v>
      </c>
      <c r="P138" t="s">
        <v>67</v>
      </c>
      <c r="Q138">
        <v>1</v>
      </c>
      <c r="X138">
        <v>0.0002</v>
      </c>
      <c r="Y138">
        <v>85160.23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0.0002</v>
      </c>
      <c r="AH138">
        <v>2</v>
      </c>
      <c r="AI138">
        <v>26616551</v>
      </c>
      <c r="AJ138">
        <v>134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ROW(Source!A78)</f>
        <v>78</v>
      </c>
      <c r="B139">
        <v>26616552</v>
      </c>
      <c r="C139">
        <v>26616549</v>
      </c>
      <c r="D139">
        <v>25687974</v>
      </c>
      <c r="E139">
        <v>1</v>
      </c>
      <c r="F139">
        <v>1</v>
      </c>
      <c r="G139">
        <v>25674181</v>
      </c>
      <c r="H139">
        <v>3</v>
      </c>
      <c r="I139" t="s">
        <v>320</v>
      </c>
      <c r="J139" t="s">
        <v>321</v>
      </c>
      <c r="K139" t="s">
        <v>322</v>
      </c>
      <c r="L139">
        <v>1348</v>
      </c>
      <c r="N139">
        <v>1013</v>
      </c>
      <c r="O139" t="s">
        <v>67</v>
      </c>
      <c r="P139" t="s">
        <v>67</v>
      </c>
      <c r="Q139">
        <v>1</v>
      </c>
      <c r="X139">
        <v>0.00056</v>
      </c>
      <c r="Y139">
        <v>142669.85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0.00056</v>
      </c>
      <c r="AH139">
        <v>2</v>
      </c>
      <c r="AI139">
        <v>26616552</v>
      </c>
      <c r="AJ139">
        <v>135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ROW(Source!A78)</f>
        <v>78</v>
      </c>
      <c r="B140">
        <v>26616553</v>
      </c>
      <c r="C140">
        <v>26616549</v>
      </c>
      <c r="D140">
        <v>25675203</v>
      </c>
      <c r="E140">
        <v>25674181</v>
      </c>
      <c r="F140">
        <v>1</v>
      </c>
      <c r="G140">
        <v>25674181</v>
      </c>
      <c r="H140">
        <v>3</v>
      </c>
      <c r="I140" t="s">
        <v>443</v>
      </c>
      <c r="K140" t="s">
        <v>444</v>
      </c>
      <c r="L140">
        <v>1354</v>
      </c>
      <c r="N140">
        <v>1013</v>
      </c>
      <c r="O140" t="s">
        <v>17</v>
      </c>
      <c r="P140" t="s">
        <v>17</v>
      </c>
      <c r="Q140">
        <v>1</v>
      </c>
      <c r="X140">
        <v>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G140">
        <v>1</v>
      </c>
      <c r="AH140">
        <v>3</v>
      </c>
      <c r="AI140">
        <v>-1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ROW(Source!A80)</f>
        <v>80</v>
      </c>
      <c r="B141">
        <v>26616558</v>
      </c>
      <c r="C141">
        <v>26616557</v>
      </c>
      <c r="D141">
        <v>25674184</v>
      </c>
      <c r="E141">
        <v>25674181</v>
      </c>
      <c r="F141">
        <v>1</v>
      </c>
      <c r="G141">
        <v>25674181</v>
      </c>
      <c r="H141">
        <v>1</v>
      </c>
      <c r="I141" t="s">
        <v>291</v>
      </c>
      <c r="K141" t="s">
        <v>292</v>
      </c>
      <c r="L141">
        <v>1191</v>
      </c>
      <c r="N141">
        <v>1013</v>
      </c>
      <c r="O141" t="s">
        <v>293</v>
      </c>
      <c r="P141" t="s">
        <v>293</v>
      </c>
      <c r="Q141">
        <v>1</v>
      </c>
      <c r="X141">
        <v>1.18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1</v>
      </c>
      <c r="AG141">
        <v>1.18</v>
      </c>
      <c r="AH141">
        <v>2</v>
      </c>
      <c r="AI141">
        <v>26616558</v>
      </c>
      <c r="AJ141">
        <v>137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ROW(Source!A80)</f>
        <v>80</v>
      </c>
      <c r="B142">
        <v>26616559</v>
      </c>
      <c r="C142">
        <v>26616557</v>
      </c>
      <c r="D142">
        <v>25675213</v>
      </c>
      <c r="E142">
        <v>25674181</v>
      </c>
      <c r="F142">
        <v>1</v>
      </c>
      <c r="G142">
        <v>25674181</v>
      </c>
      <c r="H142">
        <v>3</v>
      </c>
      <c r="I142" t="s">
        <v>445</v>
      </c>
      <c r="K142" t="s">
        <v>446</v>
      </c>
      <c r="L142">
        <v>1354</v>
      </c>
      <c r="N142">
        <v>1013</v>
      </c>
      <c r="O142" t="s">
        <v>17</v>
      </c>
      <c r="P142" t="s">
        <v>17</v>
      </c>
      <c r="Q142">
        <v>1</v>
      </c>
      <c r="X142">
        <v>1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G142">
        <v>1</v>
      </c>
      <c r="AH142">
        <v>3</v>
      </c>
      <c r="AI142">
        <v>-1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ROW(Source!A82)</f>
        <v>82</v>
      </c>
      <c r="B143">
        <v>26616564</v>
      </c>
      <c r="C143">
        <v>26616563</v>
      </c>
      <c r="D143">
        <v>25674184</v>
      </c>
      <c r="E143">
        <v>25674181</v>
      </c>
      <c r="F143">
        <v>1</v>
      </c>
      <c r="G143">
        <v>25674181</v>
      </c>
      <c r="H143">
        <v>1</v>
      </c>
      <c r="I143" t="s">
        <v>291</v>
      </c>
      <c r="K143" t="s">
        <v>292</v>
      </c>
      <c r="L143">
        <v>1191</v>
      </c>
      <c r="N143">
        <v>1013</v>
      </c>
      <c r="O143" t="s">
        <v>293</v>
      </c>
      <c r="P143" t="s">
        <v>293</v>
      </c>
      <c r="Q143">
        <v>1</v>
      </c>
      <c r="X143">
        <v>6.9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1</v>
      </c>
      <c r="AG143">
        <v>6.9</v>
      </c>
      <c r="AH143">
        <v>2</v>
      </c>
      <c r="AI143">
        <v>26616564</v>
      </c>
      <c r="AJ143">
        <v>139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ROW(Source!A82)</f>
        <v>82</v>
      </c>
      <c r="B144">
        <v>26616565</v>
      </c>
      <c r="C144">
        <v>26616563</v>
      </c>
      <c r="D144">
        <v>25686786</v>
      </c>
      <c r="E144">
        <v>1</v>
      </c>
      <c r="F144">
        <v>1</v>
      </c>
      <c r="G144">
        <v>25674181</v>
      </c>
      <c r="H144">
        <v>3</v>
      </c>
      <c r="I144" t="s">
        <v>364</v>
      </c>
      <c r="J144" t="s">
        <v>365</v>
      </c>
      <c r="K144" t="s">
        <v>366</v>
      </c>
      <c r="L144">
        <v>1348</v>
      </c>
      <c r="N144">
        <v>1013</v>
      </c>
      <c r="O144" t="s">
        <v>67</v>
      </c>
      <c r="P144" t="s">
        <v>67</v>
      </c>
      <c r="Q144">
        <v>1</v>
      </c>
      <c r="X144">
        <v>0.0014</v>
      </c>
      <c r="Y144">
        <v>116144.67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0.0014</v>
      </c>
      <c r="AH144">
        <v>2</v>
      </c>
      <c r="AI144">
        <v>26616565</v>
      </c>
      <c r="AJ144">
        <v>140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ROW(Source!A82)</f>
        <v>82</v>
      </c>
      <c r="B145">
        <v>26616566</v>
      </c>
      <c r="C145">
        <v>26616563</v>
      </c>
      <c r="D145">
        <v>25686794</v>
      </c>
      <c r="E145">
        <v>1</v>
      </c>
      <c r="F145">
        <v>1</v>
      </c>
      <c r="G145">
        <v>25674181</v>
      </c>
      <c r="H145">
        <v>3</v>
      </c>
      <c r="I145" t="s">
        <v>314</v>
      </c>
      <c r="J145" t="s">
        <v>315</v>
      </c>
      <c r="K145" t="s">
        <v>316</v>
      </c>
      <c r="L145">
        <v>1348</v>
      </c>
      <c r="N145">
        <v>1013</v>
      </c>
      <c r="O145" t="s">
        <v>67</v>
      </c>
      <c r="P145" t="s">
        <v>67</v>
      </c>
      <c r="Q145">
        <v>1</v>
      </c>
      <c r="X145">
        <v>7E-05</v>
      </c>
      <c r="Y145">
        <v>85160.23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7E-05</v>
      </c>
      <c r="AH145">
        <v>2</v>
      </c>
      <c r="AI145">
        <v>26616566</v>
      </c>
      <c r="AJ145">
        <v>141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ROW(Source!A82)</f>
        <v>82</v>
      </c>
      <c r="B146">
        <v>26616567</v>
      </c>
      <c r="C146">
        <v>26616563</v>
      </c>
      <c r="D146">
        <v>25687974</v>
      </c>
      <c r="E146">
        <v>1</v>
      </c>
      <c r="F146">
        <v>1</v>
      </c>
      <c r="G146">
        <v>25674181</v>
      </c>
      <c r="H146">
        <v>3</v>
      </c>
      <c r="I146" t="s">
        <v>320</v>
      </c>
      <c r="J146" t="s">
        <v>321</v>
      </c>
      <c r="K146" t="s">
        <v>322</v>
      </c>
      <c r="L146">
        <v>1348</v>
      </c>
      <c r="N146">
        <v>1013</v>
      </c>
      <c r="O146" t="s">
        <v>67</v>
      </c>
      <c r="P146" t="s">
        <v>67</v>
      </c>
      <c r="Q146">
        <v>1</v>
      </c>
      <c r="X146">
        <v>0.00022</v>
      </c>
      <c r="Y146">
        <v>142669.85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0.00022</v>
      </c>
      <c r="AH146">
        <v>2</v>
      </c>
      <c r="AI146">
        <v>26616567</v>
      </c>
      <c r="AJ146">
        <v>142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ROW(Source!A82)</f>
        <v>82</v>
      </c>
      <c r="B147">
        <v>26616568</v>
      </c>
      <c r="C147">
        <v>26616563</v>
      </c>
      <c r="D147">
        <v>25675191</v>
      </c>
      <c r="E147">
        <v>25674181</v>
      </c>
      <c r="F147">
        <v>1</v>
      </c>
      <c r="G147">
        <v>25674181</v>
      </c>
      <c r="H147">
        <v>3</v>
      </c>
      <c r="I147" t="s">
        <v>447</v>
      </c>
      <c r="K147" t="s">
        <v>448</v>
      </c>
      <c r="L147">
        <v>1354</v>
      </c>
      <c r="N147">
        <v>1013</v>
      </c>
      <c r="O147" t="s">
        <v>17</v>
      </c>
      <c r="P147" t="s">
        <v>17</v>
      </c>
      <c r="Q147">
        <v>1</v>
      </c>
      <c r="X147">
        <v>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G147">
        <v>1</v>
      </c>
      <c r="AH147">
        <v>3</v>
      </c>
      <c r="AI147">
        <v>-1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ROW(Source!A82)</f>
        <v>82</v>
      </c>
      <c r="B148">
        <v>26616569</v>
      </c>
      <c r="C148">
        <v>26616563</v>
      </c>
      <c r="D148">
        <v>25675189</v>
      </c>
      <c r="E148">
        <v>25674181</v>
      </c>
      <c r="F148">
        <v>1</v>
      </c>
      <c r="G148">
        <v>25674181</v>
      </c>
      <c r="H148">
        <v>3</v>
      </c>
      <c r="I148" t="s">
        <v>449</v>
      </c>
      <c r="K148" t="s">
        <v>450</v>
      </c>
      <c r="L148">
        <v>1354</v>
      </c>
      <c r="N148">
        <v>1013</v>
      </c>
      <c r="O148" t="s">
        <v>17</v>
      </c>
      <c r="P148" t="s">
        <v>17</v>
      </c>
      <c r="Q148">
        <v>1</v>
      </c>
      <c r="X148">
        <v>2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G148">
        <v>2</v>
      </c>
      <c r="AH148">
        <v>3</v>
      </c>
      <c r="AI148">
        <v>-1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ROW(Source!A115)</f>
        <v>115</v>
      </c>
      <c r="B149">
        <v>26616100</v>
      </c>
      <c r="C149">
        <v>26616098</v>
      </c>
      <c r="D149">
        <v>25674184</v>
      </c>
      <c r="E149">
        <v>25674181</v>
      </c>
      <c r="F149">
        <v>1</v>
      </c>
      <c r="G149">
        <v>25674181</v>
      </c>
      <c r="H149">
        <v>1</v>
      </c>
      <c r="I149" t="s">
        <v>291</v>
      </c>
      <c r="K149" t="s">
        <v>292</v>
      </c>
      <c r="L149">
        <v>1191</v>
      </c>
      <c r="N149">
        <v>1013</v>
      </c>
      <c r="O149" t="s">
        <v>293</v>
      </c>
      <c r="P149" t="s">
        <v>293</v>
      </c>
      <c r="Q149">
        <v>1</v>
      </c>
      <c r="X149">
        <v>29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1</v>
      </c>
      <c r="AG149">
        <v>29</v>
      </c>
      <c r="AH149">
        <v>2</v>
      </c>
      <c r="AI149">
        <v>26616099</v>
      </c>
      <c r="AJ149">
        <v>144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ROW(Source!A116)</f>
        <v>116</v>
      </c>
      <c r="B150">
        <v>26616103</v>
      </c>
      <c r="C150">
        <v>26616101</v>
      </c>
      <c r="D150">
        <v>25674184</v>
      </c>
      <c r="E150">
        <v>25674181</v>
      </c>
      <c r="F150">
        <v>1</v>
      </c>
      <c r="G150">
        <v>25674181</v>
      </c>
      <c r="H150">
        <v>1</v>
      </c>
      <c r="I150" t="s">
        <v>291</v>
      </c>
      <c r="K150" t="s">
        <v>292</v>
      </c>
      <c r="L150">
        <v>1191</v>
      </c>
      <c r="N150">
        <v>1013</v>
      </c>
      <c r="O150" t="s">
        <v>293</v>
      </c>
      <c r="P150" t="s">
        <v>293</v>
      </c>
      <c r="Q150">
        <v>1</v>
      </c>
      <c r="X150">
        <v>23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1</v>
      </c>
      <c r="AG150">
        <v>23</v>
      </c>
      <c r="AH150">
        <v>2</v>
      </c>
      <c r="AI150">
        <v>26616102</v>
      </c>
      <c r="AJ150">
        <v>145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ROW(Source!A117)</f>
        <v>117</v>
      </c>
      <c r="B151">
        <v>26616106</v>
      </c>
      <c r="C151">
        <v>26616104</v>
      </c>
      <c r="D151">
        <v>25674184</v>
      </c>
      <c r="E151">
        <v>25674181</v>
      </c>
      <c r="F151">
        <v>1</v>
      </c>
      <c r="G151">
        <v>25674181</v>
      </c>
      <c r="H151">
        <v>1</v>
      </c>
      <c r="I151" t="s">
        <v>291</v>
      </c>
      <c r="K151" t="s">
        <v>292</v>
      </c>
      <c r="L151">
        <v>1191</v>
      </c>
      <c r="N151">
        <v>1013</v>
      </c>
      <c r="O151" t="s">
        <v>293</v>
      </c>
      <c r="P151" t="s">
        <v>293</v>
      </c>
      <c r="Q151">
        <v>1</v>
      </c>
      <c r="X151">
        <v>20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1</v>
      </c>
      <c r="AG151">
        <v>20</v>
      </c>
      <c r="AH151">
        <v>2</v>
      </c>
      <c r="AI151">
        <v>26616105</v>
      </c>
      <c r="AJ151">
        <v>146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ROW(Source!A118)</f>
        <v>118</v>
      </c>
      <c r="B152">
        <v>26616110</v>
      </c>
      <c r="C152">
        <v>26616107</v>
      </c>
      <c r="D152">
        <v>25674184</v>
      </c>
      <c r="E152">
        <v>25674181</v>
      </c>
      <c r="F152">
        <v>1</v>
      </c>
      <c r="G152">
        <v>25674181</v>
      </c>
      <c r="H152">
        <v>1</v>
      </c>
      <c r="I152" t="s">
        <v>291</v>
      </c>
      <c r="K152" t="s">
        <v>292</v>
      </c>
      <c r="L152">
        <v>1191</v>
      </c>
      <c r="N152">
        <v>1013</v>
      </c>
      <c r="O152" t="s">
        <v>293</v>
      </c>
      <c r="P152" t="s">
        <v>293</v>
      </c>
      <c r="Q152">
        <v>1</v>
      </c>
      <c r="X152">
        <v>120.59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1</v>
      </c>
      <c r="AG152">
        <v>120.59</v>
      </c>
      <c r="AH152">
        <v>2</v>
      </c>
      <c r="AI152">
        <v>26616108</v>
      </c>
      <c r="AJ152">
        <v>147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ROW(Source!A118)</f>
        <v>118</v>
      </c>
      <c r="B153">
        <v>26616111</v>
      </c>
      <c r="C153">
        <v>26616107</v>
      </c>
      <c r="D153">
        <v>25675795</v>
      </c>
      <c r="E153">
        <v>25674181</v>
      </c>
      <c r="F153">
        <v>1</v>
      </c>
      <c r="G153">
        <v>25674181</v>
      </c>
      <c r="H153">
        <v>3</v>
      </c>
      <c r="I153" t="s">
        <v>385</v>
      </c>
      <c r="K153" t="s">
        <v>386</v>
      </c>
      <c r="L153">
        <v>1348</v>
      </c>
      <c r="N153">
        <v>1013</v>
      </c>
      <c r="O153" t="s">
        <v>67</v>
      </c>
      <c r="P153" t="s">
        <v>67</v>
      </c>
      <c r="Q153">
        <v>1</v>
      </c>
      <c r="X153">
        <v>8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8</v>
      </c>
      <c r="AH153">
        <v>2</v>
      </c>
      <c r="AI153">
        <v>26616109</v>
      </c>
      <c r="AJ153">
        <v>148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ROW(Source!A119)</f>
        <v>119</v>
      </c>
      <c r="B154">
        <v>26616116</v>
      </c>
      <c r="C154">
        <v>26616112</v>
      </c>
      <c r="D154">
        <v>25674184</v>
      </c>
      <c r="E154">
        <v>25674181</v>
      </c>
      <c r="F154">
        <v>1</v>
      </c>
      <c r="G154">
        <v>25674181</v>
      </c>
      <c r="H154">
        <v>1</v>
      </c>
      <c r="I154" t="s">
        <v>291</v>
      </c>
      <c r="K154" t="s">
        <v>292</v>
      </c>
      <c r="L154">
        <v>1191</v>
      </c>
      <c r="N154">
        <v>1013</v>
      </c>
      <c r="O154" t="s">
        <v>293</v>
      </c>
      <c r="P154" t="s">
        <v>293</v>
      </c>
      <c r="Q154">
        <v>1</v>
      </c>
      <c r="X154">
        <v>46.19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1</v>
      </c>
      <c r="AG154">
        <v>46.19</v>
      </c>
      <c r="AH154">
        <v>2</v>
      </c>
      <c r="AI154">
        <v>26616113</v>
      </c>
      <c r="AJ154">
        <v>149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ROW(Source!A119)</f>
        <v>119</v>
      </c>
      <c r="B155">
        <v>26616117</v>
      </c>
      <c r="C155">
        <v>26616112</v>
      </c>
      <c r="D155">
        <v>25685976</v>
      </c>
      <c r="E155">
        <v>1</v>
      </c>
      <c r="F155">
        <v>1</v>
      </c>
      <c r="G155">
        <v>25674181</v>
      </c>
      <c r="H155">
        <v>3</v>
      </c>
      <c r="I155" t="s">
        <v>387</v>
      </c>
      <c r="J155" t="s">
        <v>388</v>
      </c>
      <c r="K155" t="s">
        <v>389</v>
      </c>
      <c r="L155">
        <v>1348</v>
      </c>
      <c r="N155">
        <v>1013</v>
      </c>
      <c r="O155" t="s">
        <v>67</v>
      </c>
      <c r="P155" t="s">
        <v>67</v>
      </c>
      <c r="Q155">
        <v>1</v>
      </c>
      <c r="X155">
        <v>0.05</v>
      </c>
      <c r="Y155">
        <v>3589.54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0.05</v>
      </c>
      <c r="AH155">
        <v>2</v>
      </c>
      <c r="AI155">
        <v>26616114</v>
      </c>
      <c r="AJ155">
        <v>150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ROW(Source!A119)</f>
        <v>119</v>
      </c>
      <c r="B156">
        <v>26616118</v>
      </c>
      <c r="C156">
        <v>26616112</v>
      </c>
      <c r="D156">
        <v>25693086</v>
      </c>
      <c r="E156">
        <v>1</v>
      </c>
      <c r="F156">
        <v>1</v>
      </c>
      <c r="G156">
        <v>25674181</v>
      </c>
      <c r="H156">
        <v>3</v>
      </c>
      <c r="I156" t="s">
        <v>390</v>
      </c>
      <c r="J156" t="s">
        <v>391</v>
      </c>
      <c r="K156" t="s">
        <v>392</v>
      </c>
      <c r="L156">
        <v>1354</v>
      </c>
      <c r="N156">
        <v>1013</v>
      </c>
      <c r="O156" t="s">
        <v>17</v>
      </c>
      <c r="P156" t="s">
        <v>17</v>
      </c>
      <c r="Q156">
        <v>1</v>
      </c>
      <c r="X156">
        <v>100</v>
      </c>
      <c r="Y156">
        <v>155.31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100</v>
      </c>
      <c r="AH156">
        <v>2</v>
      </c>
      <c r="AI156">
        <v>26616115</v>
      </c>
      <c r="AJ156">
        <v>151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ROW(Source!A120)</f>
        <v>120</v>
      </c>
      <c r="B157">
        <v>26616121</v>
      </c>
      <c r="C157">
        <v>26616119</v>
      </c>
      <c r="D157">
        <v>25674184</v>
      </c>
      <c r="E157">
        <v>25674181</v>
      </c>
      <c r="F157">
        <v>1</v>
      </c>
      <c r="G157">
        <v>25674181</v>
      </c>
      <c r="H157">
        <v>1</v>
      </c>
      <c r="I157" t="s">
        <v>291</v>
      </c>
      <c r="K157" t="s">
        <v>292</v>
      </c>
      <c r="L157">
        <v>1191</v>
      </c>
      <c r="N157">
        <v>1013</v>
      </c>
      <c r="O157" t="s">
        <v>293</v>
      </c>
      <c r="P157" t="s">
        <v>293</v>
      </c>
      <c r="Q157">
        <v>1</v>
      </c>
      <c r="X157">
        <v>69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1</v>
      </c>
      <c r="AG157">
        <v>69</v>
      </c>
      <c r="AH157">
        <v>2</v>
      </c>
      <c r="AI157">
        <v>26616120</v>
      </c>
      <c r="AJ157">
        <v>152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ROW(Source!A152)</f>
        <v>152</v>
      </c>
      <c r="B158">
        <v>26616133</v>
      </c>
      <c r="C158">
        <v>26616122</v>
      </c>
      <c r="D158">
        <v>25674184</v>
      </c>
      <c r="E158">
        <v>25674181</v>
      </c>
      <c r="F158">
        <v>1</v>
      </c>
      <c r="G158">
        <v>25674181</v>
      </c>
      <c r="H158">
        <v>1</v>
      </c>
      <c r="I158" t="s">
        <v>291</v>
      </c>
      <c r="K158" t="s">
        <v>292</v>
      </c>
      <c r="L158">
        <v>1191</v>
      </c>
      <c r="N158">
        <v>1013</v>
      </c>
      <c r="O158" t="s">
        <v>293</v>
      </c>
      <c r="P158" t="s">
        <v>293</v>
      </c>
      <c r="Q158">
        <v>1</v>
      </c>
      <c r="X158">
        <v>283.52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1</v>
      </c>
      <c r="AG158">
        <v>283.52</v>
      </c>
      <c r="AH158">
        <v>2</v>
      </c>
      <c r="AI158">
        <v>26616123</v>
      </c>
      <c r="AJ158">
        <v>153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ROW(Source!A152)</f>
        <v>152</v>
      </c>
      <c r="B159">
        <v>26616134</v>
      </c>
      <c r="C159">
        <v>26616122</v>
      </c>
      <c r="D159">
        <v>25685493</v>
      </c>
      <c r="E159">
        <v>1</v>
      </c>
      <c r="F159">
        <v>1</v>
      </c>
      <c r="G159">
        <v>25674181</v>
      </c>
      <c r="H159">
        <v>2</v>
      </c>
      <c r="I159" t="s">
        <v>393</v>
      </c>
      <c r="J159" t="s">
        <v>394</v>
      </c>
      <c r="K159" t="s">
        <v>395</v>
      </c>
      <c r="L159">
        <v>1368</v>
      </c>
      <c r="N159">
        <v>1011</v>
      </c>
      <c r="O159" t="s">
        <v>300</v>
      </c>
      <c r="P159" t="s">
        <v>300</v>
      </c>
      <c r="Q159">
        <v>1</v>
      </c>
      <c r="X159">
        <v>47.81</v>
      </c>
      <c r="Y159">
        <v>0</v>
      </c>
      <c r="Z159">
        <v>566.36</v>
      </c>
      <c r="AA159">
        <v>309.03</v>
      </c>
      <c r="AB159">
        <v>0</v>
      </c>
      <c r="AC159">
        <v>0</v>
      </c>
      <c r="AD159">
        <v>1</v>
      </c>
      <c r="AE159">
        <v>0</v>
      </c>
      <c r="AG159">
        <v>47.81</v>
      </c>
      <c r="AH159">
        <v>2</v>
      </c>
      <c r="AI159">
        <v>26616124</v>
      </c>
      <c r="AJ159">
        <v>154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ROW(Source!A152)</f>
        <v>152</v>
      </c>
      <c r="B160">
        <v>26616135</v>
      </c>
      <c r="C160">
        <v>26616122</v>
      </c>
      <c r="D160">
        <v>25685377</v>
      </c>
      <c r="E160">
        <v>1</v>
      </c>
      <c r="F160">
        <v>1</v>
      </c>
      <c r="G160">
        <v>25674181</v>
      </c>
      <c r="H160">
        <v>2</v>
      </c>
      <c r="I160" t="s">
        <v>396</v>
      </c>
      <c r="J160" t="s">
        <v>397</v>
      </c>
      <c r="K160" t="s">
        <v>398</v>
      </c>
      <c r="L160">
        <v>1368</v>
      </c>
      <c r="N160">
        <v>1011</v>
      </c>
      <c r="O160" t="s">
        <v>300</v>
      </c>
      <c r="P160" t="s">
        <v>300</v>
      </c>
      <c r="Q160">
        <v>1</v>
      </c>
      <c r="X160">
        <v>47.81</v>
      </c>
      <c r="Y160">
        <v>0</v>
      </c>
      <c r="Z160">
        <v>389.94</v>
      </c>
      <c r="AA160">
        <v>89.28</v>
      </c>
      <c r="AB160">
        <v>0</v>
      </c>
      <c r="AC160">
        <v>0</v>
      </c>
      <c r="AD160">
        <v>1</v>
      </c>
      <c r="AE160">
        <v>0</v>
      </c>
      <c r="AG160">
        <v>47.81</v>
      </c>
      <c r="AH160">
        <v>2</v>
      </c>
      <c r="AI160">
        <v>26616125</v>
      </c>
      <c r="AJ160">
        <v>155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ROW(Source!A152)</f>
        <v>152</v>
      </c>
      <c r="B161">
        <v>26616136</v>
      </c>
      <c r="C161">
        <v>26616122</v>
      </c>
      <c r="D161">
        <v>25685102</v>
      </c>
      <c r="E161">
        <v>1</v>
      </c>
      <c r="F161">
        <v>1</v>
      </c>
      <c r="G161">
        <v>25674181</v>
      </c>
      <c r="H161">
        <v>2</v>
      </c>
      <c r="I161" t="s">
        <v>301</v>
      </c>
      <c r="J161" t="s">
        <v>302</v>
      </c>
      <c r="K161" t="s">
        <v>303</v>
      </c>
      <c r="L161">
        <v>1368</v>
      </c>
      <c r="N161">
        <v>1011</v>
      </c>
      <c r="O161" t="s">
        <v>300</v>
      </c>
      <c r="P161" t="s">
        <v>300</v>
      </c>
      <c r="Q161">
        <v>1</v>
      </c>
      <c r="X161">
        <v>7.2</v>
      </c>
      <c r="Y161">
        <v>0</v>
      </c>
      <c r="Z161">
        <v>6.05</v>
      </c>
      <c r="AA161">
        <v>0.71</v>
      </c>
      <c r="AB161">
        <v>0</v>
      </c>
      <c r="AC161">
        <v>0</v>
      </c>
      <c r="AD161">
        <v>1</v>
      </c>
      <c r="AE161">
        <v>0</v>
      </c>
      <c r="AG161">
        <v>7.2</v>
      </c>
      <c r="AH161">
        <v>2</v>
      </c>
      <c r="AI161">
        <v>26616126</v>
      </c>
      <c r="AJ161">
        <v>156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ROW(Source!A152)</f>
        <v>152</v>
      </c>
      <c r="B162">
        <v>26616137</v>
      </c>
      <c r="C162">
        <v>26616122</v>
      </c>
      <c r="D162">
        <v>25687537</v>
      </c>
      <c r="E162">
        <v>1</v>
      </c>
      <c r="F162">
        <v>1</v>
      </c>
      <c r="G162">
        <v>25674181</v>
      </c>
      <c r="H162">
        <v>3</v>
      </c>
      <c r="I162" t="s">
        <v>399</v>
      </c>
      <c r="J162" t="s">
        <v>400</v>
      </c>
      <c r="K162" t="s">
        <v>401</v>
      </c>
      <c r="L162">
        <v>1346</v>
      </c>
      <c r="N162">
        <v>1013</v>
      </c>
      <c r="O162" t="s">
        <v>140</v>
      </c>
      <c r="P162" t="s">
        <v>140</v>
      </c>
      <c r="Q162">
        <v>1</v>
      </c>
      <c r="X162">
        <v>10</v>
      </c>
      <c r="Y162">
        <v>27.91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10</v>
      </c>
      <c r="AH162">
        <v>2</v>
      </c>
      <c r="AI162">
        <v>26616127</v>
      </c>
      <c r="AJ162">
        <v>157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ROW(Source!A152)</f>
        <v>152</v>
      </c>
      <c r="B163">
        <v>26616138</v>
      </c>
      <c r="C163">
        <v>26616122</v>
      </c>
      <c r="D163">
        <v>25687704</v>
      </c>
      <c r="E163">
        <v>1</v>
      </c>
      <c r="F163">
        <v>1</v>
      </c>
      <c r="G163">
        <v>25674181</v>
      </c>
      <c r="H163">
        <v>3</v>
      </c>
      <c r="I163" t="s">
        <v>402</v>
      </c>
      <c r="J163" t="s">
        <v>403</v>
      </c>
      <c r="K163" t="s">
        <v>404</v>
      </c>
      <c r="L163">
        <v>1339</v>
      </c>
      <c r="N163">
        <v>1007</v>
      </c>
      <c r="O163" t="s">
        <v>310</v>
      </c>
      <c r="P163" t="s">
        <v>310</v>
      </c>
      <c r="Q163">
        <v>1</v>
      </c>
      <c r="X163">
        <v>0.0088</v>
      </c>
      <c r="Y163">
        <v>28.77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0.0088</v>
      </c>
      <c r="AH163">
        <v>2</v>
      </c>
      <c r="AI163">
        <v>26616128</v>
      </c>
      <c r="AJ163">
        <v>158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ROW(Source!A152)</f>
        <v>152</v>
      </c>
      <c r="B164">
        <v>26616139</v>
      </c>
      <c r="C164">
        <v>26616122</v>
      </c>
      <c r="D164">
        <v>25687925</v>
      </c>
      <c r="E164">
        <v>1</v>
      </c>
      <c r="F164">
        <v>1</v>
      </c>
      <c r="G164">
        <v>25674181</v>
      </c>
      <c r="H164">
        <v>3</v>
      </c>
      <c r="I164" t="s">
        <v>405</v>
      </c>
      <c r="J164" t="s">
        <v>406</v>
      </c>
      <c r="K164" t="s">
        <v>407</v>
      </c>
      <c r="L164">
        <v>1327</v>
      </c>
      <c r="N164">
        <v>1013</v>
      </c>
      <c r="O164" t="s">
        <v>85</v>
      </c>
      <c r="P164" t="s">
        <v>85</v>
      </c>
      <c r="Q164">
        <v>1</v>
      </c>
      <c r="X164">
        <v>240</v>
      </c>
      <c r="Y164">
        <v>12.61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G164">
        <v>240</v>
      </c>
      <c r="AH164">
        <v>2</v>
      </c>
      <c r="AI164">
        <v>26616129</v>
      </c>
      <c r="AJ164">
        <v>159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ROW(Source!A152)</f>
        <v>152</v>
      </c>
      <c r="B165">
        <v>26616140</v>
      </c>
      <c r="C165">
        <v>26616122</v>
      </c>
      <c r="D165">
        <v>25688037</v>
      </c>
      <c r="E165">
        <v>1</v>
      </c>
      <c r="F165">
        <v>1</v>
      </c>
      <c r="G165">
        <v>25674181</v>
      </c>
      <c r="H165">
        <v>3</v>
      </c>
      <c r="I165" t="s">
        <v>408</v>
      </c>
      <c r="J165" t="s">
        <v>409</v>
      </c>
      <c r="K165" t="s">
        <v>410</v>
      </c>
      <c r="L165">
        <v>1327</v>
      </c>
      <c r="N165">
        <v>1013</v>
      </c>
      <c r="O165" t="s">
        <v>85</v>
      </c>
      <c r="P165" t="s">
        <v>85</v>
      </c>
      <c r="Q165">
        <v>1</v>
      </c>
      <c r="X165">
        <v>110</v>
      </c>
      <c r="Y165">
        <v>162.23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G165">
        <v>110</v>
      </c>
      <c r="AH165">
        <v>2</v>
      </c>
      <c r="AI165">
        <v>26616130</v>
      </c>
      <c r="AJ165">
        <v>160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ROW(Source!A152)</f>
        <v>152</v>
      </c>
      <c r="B166">
        <v>26616141</v>
      </c>
      <c r="C166">
        <v>26616122</v>
      </c>
      <c r="D166">
        <v>25688118</v>
      </c>
      <c r="E166">
        <v>1</v>
      </c>
      <c r="F166">
        <v>1</v>
      </c>
      <c r="G166">
        <v>25674181</v>
      </c>
      <c r="H166">
        <v>3</v>
      </c>
      <c r="I166" t="s">
        <v>411</v>
      </c>
      <c r="J166" t="s">
        <v>412</v>
      </c>
      <c r="K166" t="s">
        <v>413</v>
      </c>
      <c r="L166">
        <v>1348</v>
      </c>
      <c r="N166">
        <v>1013</v>
      </c>
      <c r="O166" t="s">
        <v>67</v>
      </c>
      <c r="P166" t="s">
        <v>67</v>
      </c>
      <c r="Q166">
        <v>1</v>
      </c>
      <c r="X166">
        <v>0.54</v>
      </c>
      <c r="Y166">
        <v>98147.75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0.54</v>
      </c>
      <c r="AH166">
        <v>2</v>
      </c>
      <c r="AI166">
        <v>26616131</v>
      </c>
      <c r="AJ166">
        <v>161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ROW(Source!A152)</f>
        <v>152</v>
      </c>
      <c r="B167">
        <v>26616142</v>
      </c>
      <c r="C167">
        <v>26616122</v>
      </c>
      <c r="D167">
        <v>25686268</v>
      </c>
      <c r="E167">
        <v>1</v>
      </c>
      <c r="F167">
        <v>1</v>
      </c>
      <c r="G167">
        <v>25674181</v>
      </c>
      <c r="H167">
        <v>3</v>
      </c>
      <c r="I167" t="s">
        <v>414</v>
      </c>
      <c r="J167" t="s">
        <v>415</v>
      </c>
      <c r="K167" t="s">
        <v>416</v>
      </c>
      <c r="L167">
        <v>1348</v>
      </c>
      <c r="N167">
        <v>1013</v>
      </c>
      <c r="O167" t="s">
        <v>67</v>
      </c>
      <c r="P167" t="s">
        <v>67</v>
      </c>
      <c r="Q167">
        <v>1</v>
      </c>
      <c r="X167">
        <v>0.013</v>
      </c>
      <c r="Y167">
        <v>69344.71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0.013</v>
      </c>
      <c r="AH167">
        <v>2</v>
      </c>
      <c r="AI167">
        <v>26616132</v>
      </c>
      <c r="AJ167">
        <v>162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ROW(Source!A153)</f>
        <v>153</v>
      </c>
      <c r="B168">
        <v>26616147</v>
      </c>
      <c r="C168">
        <v>26616143</v>
      </c>
      <c r="D168">
        <v>25674184</v>
      </c>
      <c r="E168">
        <v>25674181</v>
      </c>
      <c r="F168">
        <v>1</v>
      </c>
      <c r="G168">
        <v>25674181</v>
      </c>
      <c r="H168">
        <v>1</v>
      </c>
      <c r="I168" t="s">
        <v>291</v>
      </c>
      <c r="K168" t="s">
        <v>292</v>
      </c>
      <c r="L168">
        <v>1191</v>
      </c>
      <c r="N168">
        <v>1013</v>
      </c>
      <c r="O168" t="s">
        <v>293</v>
      </c>
      <c r="P168" t="s">
        <v>293</v>
      </c>
      <c r="Q168">
        <v>1</v>
      </c>
      <c r="X168">
        <v>20.73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1</v>
      </c>
      <c r="AG168">
        <v>20.73</v>
      </c>
      <c r="AH168">
        <v>2</v>
      </c>
      <c r="AI168">
        <v>26616144</v>
      </c>
      <c r="AJ168">
        <v>163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ROW(Source!A153)</f>
        <v>153</v>
      </c>
      <c r="B169">
        <v>26616148</v>
      </c>
      <c r="C169">
        <v>26616143</v>
      </c>
      <c r="D169">
        <v>25685976</v>
      </c>
      <c r="E169">
        <v>1</v>
      </c>
      <c r="F169">
        <v>1</v>
      </c>
      <c r="G169">
        <v>25674181</v>
      </c>
      <c r="H169">
        <v>3</v>
      </c>
      <c r="I169" t="s">
        <v>387</v>
      </c>
      <c r="J169" t="s">
        <v>388</v>
      </c>
      <c r="K169" t="s">
        <v>389</v>
      </c>
      <c r="L169">
        <v>1348</v>
      </c>
      <c r="N169">
        <v>1013</v>
      </c>
      <c r="O169" t="s">
        <v>67</v>
      </c>
      <c r="P169" t="s">
        <v>67</v>
      </c>
      <c r="Q169">
        <v>1</v>
      </c>
      <c r="X169">
        <v>0.17</v>
      </c>
      <c r="Y169">
        <v>3589.54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0.17</v>
      </c>
      <c r="AH169">
        <v>2</v>
      </c>
      <c r="AI169">
        <v>26616145</v>
      </c>
      <c r="AJ169">
        <v>164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ROW(Source!A153)</f>
        <v>153</v>
      </c>
      <c r="B170">
        <v>26616149</v>
      </c>
      <c r="C170">
        <v>26616143</v>
      </c>
      <c r="D170">
        <v>25688503</v>
      </c>
      <c r="E170">
        <v>1</v>
      </c>
      <c r="F170">
        <v>1</v>
      </c>
      <c r="G170">
        <v>25674181</v>
      </c>
      <c r="H170">
        <v>3</v>
      </c>
      <c r="I170" t="s">
        <v>329</v>
      </c>
      <c r="J170" t="s">
        <v>330</v>
      </c>
      <c r="K170" t="s">
        <v>331</v>
      </c>
      <c r="L170">
        <v>1339</v>
      </c>
      <c r="N170">
        <v>1007</v>
      </c>
      <c r="O170" t="s">
        <v>310</v>
      </c>
      <c r="P170" t="s">
        <v>310</v>
      </c>
      <c r="Q170">
        <v>1</v>
      </c>
      <c r="X170">
        <v>0.03</v>
      </c>
      <c r="Y170">
        <v>2593.7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0.03</v>
      </c>
      <c r="AH170">
        <v>2</v>
      </c>
      <c r="AI170">
        <v>26616146</v>
      </c>
      <c r="AJ170">
        <v>165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Zakupki</cp:lastModifiedBy>
  <dcterms:modified xsi:type="dcterms:W3CDTF">2017-12-11T12:24:36Z</dcterms:modified>
  <cp:category/>
  <cp:version/>
  <cp:contentType/>
  <cp:contentStatus/>
</cp:coreProperties>
</file>